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72" windowHeight="7908"/>
  </bookViews>
  <sheets>
    <sheet name="綜合特休試算" sheetId="1" r:id="rId1"/>
    <sheet name="留停紀錄" sheetId="3" r:id="rId2"/>
    <sheet name="新舊週年制比較" sheetId="2" r:id="rId3"/>
  </sheets>
  <definedNames>
    <definedName name="_xlnm.Print_Area" localSheetId="0">綜合特休試算!$A$1:K29</definedName>
    <definedName name="比例方式">新舊週年制比較!$A$109:$A$110</definedName>
    <definedName name="特休制度">新舊週年制比較!$A$105:$A$107</definedName>
    <definedName name="進位方式">新舊週年制比較!$A$100:$A$103</definedName>
  </definedNames>
  <calcPr calcId="125725"/>
</workbook>
</file>

<file path=xl/calcChain.xml><?xml version="1.0" encoding="utf-8"?>
<calcChain xmlns="http://schemas.openxmlformats.org/spreadsheetml/2006/main">
  <c r="C11" i="3"/>
  <c r="B11"/>
  <c r="E4" l="1"/>
  <c r="E5"/>
  <c r="E6"/>
  <c r="E7"/>
  <c r="E8"/>
  <c r="E9"/>
  <c r="E10"/>
  <c r="E3"/>
  <c r="E2"/>
  <c r="D3"/>
  <c r="D4"/>
  <c r="D5"/>
  <c r="D6"/>
  <c r="D7"/>
  <c r="D8"/>
  <c r="D9"/>
  <c r="D10"/>
  <c r="D2"/>
  <c r="D33" i="2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  <c r="K33" i="1"/>
  <c r="G33"/>
  <c r="F33"/>
  <c r="D33"/>
  <c r="F11"/>
  <c r="I10"/>
  <c r="J5"/>
  <c r="J4"/>
  <c r="C4" l="1"/>
  <c r="C5" s="1"/>
  <c r="B33" s="1"/>
  <c r="C8" l="1"/>
  <c r="D34"/>
  <c r="F36"/>
  <c r="K38"/>
  <c r="D5"/>
  <c r="F40"/>
  <c r="F38"/>
  <c r="G36"/>
  <c r="B38"/>
  <c r="D36"/>
  <c r="C16" l="1"/>
  <c r="C13" s="1"/>
  <c r="C19" l="1"/>
  <c r="C15"/>
  <c r="D17" l="1"/>
  <c r="A15"/>
  <c r="D15" s="1"/>
  <c r="C12"/>
  <c r="C22"/>
  <c r="C18"/>
  <c r="D20" l="1"/>
  <c r="A18"/>
  <c r="D18" s="1"/>
  <c r="A12"/>
  <c r="K16"/>
  <c r="H17"/>
  <c r="F17"/>
  <c r="G17"/>
  <c r="E17"/>
  <c r="A17"/>
  <c r="C21"/>
  <c r="C25"/>
  <c r="C24" s="1"/>
  <c r="K19"/>
  <c r="K13" l="1"/>
  <c r="D14"/>
  <c r="D12" s="1"/>
  <c r="G19"/>
  <c r="K18"/>
  <c r="H19"/>
  <c r="F19"/>
  <c r="F13"/>
  <c r="K12"/>
  <c r="G14"/>
  <c r="F14"/>
  <c r="A14"/>
  <c r="H14"/>
  <c r="E14"/>
  <c r="H20"/>
  <c r="F20"/>
  <c r="G20"/>
  <c r="E20"/>
  <c r="A20"/>
  <c r="D23"/>
  <c r="A21"/>
  <c r="D26"/>
  <c r="A24"/>
  <c r="K25" s="1"/>
  <c r="G16"/>
  <c r="H16" s="1"/>
  <c r="F16"/>
  <c r="K15"/>
  <c r="K22"/>
  <c r="G13" l="1"/>
  <c r="H13" s="1"/>
  <c r="D21"/>
  <c r="D24"/>
  <c r="G25" s="1"/>
  <c r="H25" s="1"/>
  <c r="F25"/>
  <c r="K24"/>
  <c r="G15"/>
  <c r="F15"/>
  <c r="H15"/>
  <c r="I13" s="1"/>
  <c r="A26"/>
  <c r="H26"/>
  <c r="G26"/>
  <c r="G22"/>
  <c r="K21"/>
  <c r="H22"/>
  <c r="F22"/>
  <c r="G23"/>
  <c r="H23"/>
  <c r="F23"/>
  <c r="E23"/>
  <c r="A23"/>
  <c r="G12"/>
  <c r="F12"/>
  <c r="H12"/>
  <c r="G18"/>
  <c r="H18" s="1"/>
  <c r="I16" s="1"/>
  <c r="F18"/>
  <c r="G24" l="1"/>
  <c r="H24" s="1"/>
  <c r="I22" s="1"/>
  <c r="F24"/>
  <c r="G21"/>
  <c r="F21"/>
  <c r="H21"/>
  <c r="I19" s="1"/>
</calcChain>
</file>

<file path=xl/sharedStrings.xml><?xml version="1.0" encoding="utf-8"?>
<sst xmlns="http://schemas.openxmlformats.org/spreadsheetml/2006/main" count="80" uniqueCount="46">
  <si>
    <t>個人特休試算表</t>
  </si>
  <si>
    <r>
      <rPr>
        <b/>
        <sz val="12"/>
        <rFont val="新細明體"/>
        <family val="1"/>
        <charset val="136"/>
      </rPr>
      <t>（請於</t>
    </r>
    <r>
      <rPr>
        <b/>
        <sz val="12"/>
        <color indexed="12"/>
        <rFont val="新細明體"/>
        <family val="1"/>
        <charset val="136"/>
      </rPr>
      <t>藍色欄位</t>
    </r>
    <r>
      <rPr>
        <b/>
        <sz val="12"/>
        <rFont val="新細明體"/>
        <family val="1"/>
        <charset val="136"/>
      </rPr>
      <t>填入個人資料）</t>
    </r>
  </si>
  <si>
    <t>特休計算設定</t>
  </si>
  <si>
    <t>到職年月日：</t>
  </si>
  <si>
    <t>特休制度：</t>
  </si>
  <si>
    <t>週年制</t>
  </si>
  <si>
    <r>
      <rPr>
        <sz val="12"/>
        <rFont val="新細明體"/>
        <family val="1"/>
        <charset val="136"/>
      </rPr>
      <t>不計年資天數</t>
    </r>
    <r>
      <rPr>
        <sz val="10"/>
        <rFont val="新細明體"/>
        <family val="1"/>
        <charset val="136"/>
      </rPr>
      <t>(留停/合併)</t>
    </r>
    <r>
      <rPr>
        <sz val="12"/>
        <rFont val="新細明體"/>
        <family val="1"/>
        <charset val="136"/>
      </rPr>
      <t>：</t>
    </r>
  </si>
  <si>
    <t>自訂起始：</t>
  </si>
  <si>
    <t>月</t>
  </si>
  <si>
    <t>年資起算日(扣留停)：</t>
  </si>
  <si>
    <t>日</t>
  </si>
  <si>
    <t>特休查詢日期：</t>
  </si>
  <si>
    <t>進位方式：</t>
  </si>
  <si>
    <t>4.四捨五入至整數（時數）</t>
  </si>
  <si>
    <t>查詢日已滿年資：</t>
  </si>
  <si>
    <t>比例方式：</t>
  </si>
  <si>
    <t>1.依任職日數比例計算</t>
  </si>
  <si>
    <t>制度轉換計算</t>
  </si>
  <si>
    <t>年資計算</t>
  </si>
  <si>
    <t>起訖日期</t>
  </si>
  <si>
    <t>特休天數</t>
  </si>
  <si>
    <t>計算結果</t>
  </si>
  <si>
    <t>進位計算</t>
  </si>
  <si>
    <t>曆年制合計</t>
  </si>
  <si>
    <t>起</t>
  </si>
  <si>
    <t>×</t>
  </si>
  <si>
    <t>訖</t>
  </si>
  <si>
    <t>說明：</t>
  </si>
  <si>
    <t>本試算工具版權屬於全球華人股份有限公司（1111人力銀行）所有，歡迎轉載使用，唯轉載時請註明出處。</t>
  </si>
  <si>
    <t>↖</t>
  </si>
  <si>
    <t>↗</t>
  </si>
  <si>
    <t>↓↓↓↓↓↓↓↓↓↓</t>
  </si>
  <si>
    <t>年資(年)</t>
  </si>
  <si>
    <t>舊制天數</t>
  </si>
  <si>
    <t>新制天數</t>
  </si>
  <si>
    <t>新舊制差異天數</t>
  </si>
  <si>
    <t>0.四捨五入至整數（天數）</t>
  </si>
  <si>
    <t>1.四捨五入至小數第1位（天數）</t>
  </si>
  <si>
    <t>2.四捨五入至小數第2位（天數）</t>
  </si>
  <si>
    <t>曆年制</t>
  </si>
  <si>
    <t>自訂年制</t>
  </si>
  <si>
    <t>2.依任職月數比例計算</t>
  </si>
  <si>
    <t>留停天數</t>
    <phoneticPr fontId="30" type="noConversion"/>
  </si>
  <si>
    <r>
      <t xml:space="preserve">留停日 </t>
    </r>
    <r>
      <rPr>
        <sz val="9"/>
        <rFont val="新細明體"/>
        <family val="1"/>
        <charset val="136"/>
      </rPr>
      <t>(開始不計年資)</t>
    </r>
    <phoneticPr fontId="30" type="noConversion"/>
  </si>
  <si>
    <r>
      <t xml:space="preserve">復職日 </t>
    </r>
    <r>
      <rPr>
        <sz val="9"/>
        <rFont val="新細明體"/>
        <family val="1"/>
        <charset val="136"/>
      </rPr>
      <t>(重新開始計算年資)</t>
    </r>
    <phoneticPr fontId="30" type="noConversion"/>
  </si>
  <si>
    <t>（請填留停紀錄）</t>
    <phoneticPr fontId="30" type="noConversion"/>
  </si>
</sst>
</file>

<file path=xl/styles.xml><?xml version="1.0" encoding="utf-8"?>
<styleSheet xmlns="http://schemas.openxmlformats.org/spreadsheetml/2006/main">
  <numFmts count="9">
    <numFmt numFmtId="176" formatCode="_ &quot;￥&quot;* #,##0_ ;_ &quot;￥&quot;* \-#,##0_ ;_ &quot;￥&quot;* &quot;-&quot;_ ;_ @_ "/>
    <numFmt numFmtId="177" formatCode="&quot;已滿年資：&quot;0.0&quot; 年&quot;"/>
    <numFmt numFmtId="178" formatCode="&quot;2017/1/1～&quot;mm/dd&quot;新舊制差額&quot;"/>
    <numFmt numFmtId="179" formatCode="0.0&quot;年&quot;"/>
    <numFmt numFmtId="180" formatCode="0&quot;天&quot;"/>
    <numFmt numFmtId="181" formatCode="&quot;←舊週年制&quot;##&quot;天→&quot;"/>
    <numFmt numFmtId="182" formatCode="0.00_ "/>
    <numFmt numFmtId="183" formatCode="&quot;←現行曆年制應休&quot;##&quot;天→&quot;"/>
    <numFmt numFmtId="184" formatCode="&quot;↓&quot;yyyy/m/d"/>
  </numFmts>
  <fonts count="32">
    <font>
      <sz val="12"/>
      <name val="新細明體"/>
      <charset val="134"/>
    </font>
    <font>
      <b/>
      <sz val="18"/>
      <color indexed="54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5"/>
      <color indexed="54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1"/>
      <color indexed="54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3"/>
      <color indexed="54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u/>
      <sz val="18"/>
      <name val="新細明體"/>
      <family val="1"/>
      <charset val="136"/>
    </font>
    <font>
      <b/>
      <sz val="12"/>
      <name val="新細明體"/>
      <family val="1"/>
      <charset val="136"/>
    </font>
    <font>
      <sz val="18"/>
      <name val="標楷體"/>
      <family val="4"/>
      <charset val="136"/>
    </font>
    <font>
      <sz val="18"/>
      <color indexed="23"/>
      <name val="標楷體"/>
      <family val="4"/>
      <charset val="136"/>
    </font>
    <font>
      <b/>
      <sz val="12"/>
      <color indexed="10"/>
      <name val="新細明體"/>
      <family val="1"/>
      <charset val="136"/>
    </font>
    <font>
      <sz val="8"/>
      <name val="新細明體"/>
      <family val="1"/>
      <charset val="136"/>
    </font>
    <font>
      <u/>
      <sz val="16"/>
      <name val="新細明體"/>
      <family val="1"/>
      <charset val="136"/>
    </font>
    <font>
      <sz val="16"/>
      <name val="新細明體"/>
      <family val="1"/>
      <charset val="136"/>
    </font>
    <font>
      <b/>
      <sz val="12"/>
      <color indexed="12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</fonts>
  <fills count="1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12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/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53"/>
      </left>
      <right/>
      <top/>
      <bottom style="thin">
        <color indexed="64"/>
      </bottom>
      <diagonal/>
    </border>
    <border>
      <left/>
      <right style="thick">
        <color indexed="17"/>
      </right>
      <top/>
      <bottom style="thin">
        <color indexed="64"/>
      </bottom>
      <diagonal/>
    </border>
    <border>
      <left style="thick">
        <color indexed="17"/>
      </left>
      <right/>
      <top/>
      <bottom style="thin">
        <color indexed="64"/>
      </bottom>
      <diagonal/>
    </border>
    <border>
      <left/>
      <right style="thick">
        <color indexed="53"/>
      </right>
      <top/>
      <bottom style="thin">
        <color indexed="64"/>
      </bottom>
      <diagonal/>
    </border>
    <border>
      <left style="thick">
        <color indexed="53"/>
      </left>
      <right style="thick">
        <color indexed="17"/>
      </right>
      <top/>
      <bottom style="thin">
        <color indexed="64"/>
      </bottom>
      <diagonal/>
    </border>
    <border>
      <left style="thick">
        <color indexed="17"/>
      </left>
      <right/>
      <top style="thin">
        <color indexed="64"/>
      </top>
      <bottom/>
      <diagonal/>
    </border>
    <border>
      <left/>
      <right style="thick">
        <color indexed="17"/>
      </right>
      <top style="thin">
        <color indexed="64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 style="thick">
        <color indexed="17"/>
      </right>
      <top/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ck">
        <color rgb="FF0000CC"/>
      </left>
      <right/>
      <top style="thick">
        <color rgb="FF0000CC"/>
      </top>
      <bottom style="thick">
        <color rgb="FF0000CC"/>
      </bottom>
      <diagonal/>
    </border>
    <border>
      <left/>
      <right/>
      <top style="thick">
        <color rgb="FF0000CC"/>
      </top>
      <bottom style="thick">
        <color rgb="FF0000CC"/>
      </bottom>
      <diagonal/>
    </border>
    <border>
      <left/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30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rgb="FF0000CC"/>
      </left>
      <right style="thin">
        <color indexed="64"/>
      </right>
      <top style="thick">
        <color rgb="FF0000CC"/>
      </top>
      <bottom style="thin">
        <color indexed="64"/>
      </bottom>
      <diagonal/>
    </border>
    <border>
      <left style="thin">
        <color auto="1"/>
      </left>
      <right style="thick">
        <color indexed="12"/>
      </right>
      <top style="thick">
        <color rgb="FF0000CC"/>
      </top>
      <bottom style="thin">
        <color auto="1"/>
      </bottom>
      <diagonal/>
    </border>
    <border>
      <left style="thick">
        <color rgb="FF0000CC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12"/>
      </right>
      <top style="thin">
        <color auto="1"/>
      </top>
      <bottom style="thin">
        <color auto="1"/>
      </bottom>
      <diagonal/>
    </border>
    <border>
      <left style="thick">
        <color rgb="FF0000CC"/>
      </left>
      <right style="thin">
        <color auto="1"/>
      </right>
      <top style="thin">
        <color auto="1"/>
      </top>
      <bottom style="thick">
        <color indexed="12"/>
      </bottom>
      <diagonal/>
    </border>
    <border>
      <left style="thin">
        <color auto="1"/>
      </left>
      <right style="thick">
        <color indexed="12"/>
      </right>
      <top style="thin">
        <color auto="1"/>
      </top>
      <bottom style="thick">
        <color indexed="12"/>
      </bottom>
      <diagonal/>
    </border>
    <border>
      <left style="thin">
        <color auto="1"/>
      </left>
      <right style="thin">
        <color auto="1"/>
      </right>
      <top style="thick">
        <color rgb="FF0000CC"/>
      </top>
      <bottom style="thin">
        <color auto="1"/>
      </bottom>
      <diagonal/>
    </border>
    <border>
      <left style="thick">
        <color rgb="FF0000CC"/>
      </left>
      <right style="thick">
        <color indexed="12"/>
      </right>
      <top style="thick">
        <color indexed="12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29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0" borderId="45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40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4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42" applyNumberFormat="0" applyFill="0" applyAlignment="0" applyProtection="0">
      <alignment vertical="center"/>
    </xf>
    <xf numFmtId="0" fontId="2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39" applyNumberFormat="0" applyAlignment="0" applyProtection="0">
      <alignment vertical="center"/>
    </xf>
    <xf numFmtId="0" fontId="15" fillId="12" borderId="39" applyNumberFormat="0" applyAlignment="0" applyProtection="0">
      <alignment vertical="center"/>
    </xf>
    <xf numFmtId="0" fontId="16" fillId="0" borderId="44" applyNumberFormat="0" applyFill="0" applyAlignment="0" applyProtection="0">
      <alignment vertical="center"/>
    </xf>
    <xf numFmtId="0" fontId="29" fillId="9" borderId="3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2" borderId="41" applyNumberFormat="0" applyAlignment="0" applyProtection="0">
      <alignment vertical="center"/>
    </xf>
    <xf numFmtId="0" fontId="4" fillId="8" borderId="3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43">
    <xf numFmtId="0" fontId="3" fillId="0" borderId="0" xfId="0" applyFont="1">
      <alignment vertical="center"/>
    </xf>
    <xf numFmtId="0" fontId="2" fillId="0" borderId="0" xfId="26" applyNumberFormat="1" applyFont="1" applyFill="1" applyProtection="1">
      <alignment vertical="center"/>
    </xf>
    <xf numFmtId="0" fontId="2" fillId="0" borderId="0" xfId="26" applyNumberFormat="1" applyFont="1" applyFill="1" applyAlignment="1" applyProtection="1">
      <alignment horizontal="center" vertical="center"/>
    </xf>
    <xf numFmtId="0" fontId="3" fillId="0" borderId="0" xfId="5" applyProtection="1">
      <alignment vertical="center"/>
    </xf>
    <xf numFmtId="0" fontId="20" fillId="0" borderId="1" xfId="5" applyFont="1" applyBorder="1" applyAlignment="1" applyProtection="1">
      <alignment vertical="center"/>
    </xf>
    <xf numFmtId="0" fontId="20" fillId="0" borderId="2" xfId="5" applyFont="1" applyBorder="1" applyAlignment="1" applyProtection="1">
      <alignment vertical="center"/>
    </xf>
    <xf numFmtId="0" fontId="20" fillId="0" borderId="0" xfId="5" applyFont="1" applyBorder="1" applyAlignment="1" applyProtection="1">
      <alignment horizontal="center" vertical="center"/>
    </xf>
    <xf numFmtId="0" fontId="3" fillId="0" borderId="0" xfId="5" applyBorder="1" applyAlignment="1" applyProtection="1">
      <alignment horizontal="center" vertical="center"/>
    </xf>
    <xf numFmtId="0" fontId="3" fillId="0" borderId="5" xfId="5" applyBorder="1" applyProtection="1">
      <alignment vertical="center"/>
    </xf>
    <xf numFmtId="14" fontId="3" fillId="0" borderId="8" xfId="5" applyNumberFormat="1" applyBorder="1" applyAlignment="1" applyProtection="1">
      <alignment horizontal="center" vertical="center"/>
    </xf>
    <xf numFmtId="0" fontId="3" fillId="0" borderId="2" xfId="5" applyBorder="1" applyAlignment="1" applyProtection="1">
      <alignment horizontal="center" vertical="center"/>
    </xf>
    <xf numFmtId="14" fontId="3" fillId="2" borderId="11" xfId="5" applyNumberFormat="1" applyFill="1" applyBorder="1" applyAlignment="1" applyProtection="1">
      <alignment horizontal="center" vertical="center"/>
      <protection locked="0"/>
    </xf>
    <xf numFmtId="179" fontId="3" fillId="0" borderId="13" xfId="5" applyNumberFormat="1" applyBorder="1" applyAlignment="1" applyProtection="1">
      <alignment horizontal="center" vertical="center"/>
    </xf>
    <xf numFmtId="14" fontId="3" fillId="0" borderId="0" xfId="5" applyNumberFormat="1" applyProtection="1">
      <alignment vertical="center"/>
    </xf>
    <xf numFmtId="14" fontId="20" fillId="0" borderId="0" xfId="5" applyNumberFormat="1" applyFont="1" applyBorder="1" applyAlignment="1" applyProtection="1">
      <alignment horizontal="center" vertical="center"/>
    </xf>
    <xf numFmtId="0" fontId="21" fillId="0" borderId="0" xfId="5" applyFont="1" applyBorder="1" applyAlignment="1" applyProtection="1">
      <alignment horizontal="center" vertical="center"/>
    </xf>
    <xf numFmtId="0" fontId="3" fillId="0" borderId="0" xfId="5" applyAlignment="1" applyProtection="1">
      <alignment horizontal="center" vertical="center"/>
    </xf>
    <xf numFmtId="0" fontId="3" fillId="0" borderId="18" xfId="5" applyBorder="1" applyAlignment="1" applyProtection="1">
      <alignment horizontal="center" vertical="center"/>
    </xf>
    <xf numFmtId="14" fontId="3" fillId="0" borderId="19" xfId="5" applyNumberFormat="1" applyBorder="1" applyAlignment="1" applyProtection="1">
      <alignment horizontal="left" vertical="center"/>
    </xf>
    <xf numFmtId="0" fontId="3" fillId="0" borderId="0" xfId="5" applyBorder="1" applyAlignment="1" applyProtection="1">
      <alignment horizontal="right" vertical="center"/>
    </xf>
    <xf numFmtId="182" fontId="3" fillId="0" borderId="0" xfId="5" applyNumberFormat="1" applyBorder="1" applyProtection="1">
      <alignment vertical="center"/>
    </xf>
    <xf numFmtId="0" fontId="3" fillId="0" borderId="20" xfId="5" applyBorder="1" applyAlignment="1" applyProtection="1">
      <alignment horizontal="center" vertical="center"/>
    </xf>
    <xf numFmtId="14" fontId="3" fillId="0" borderId="8" xfId="5" applyNumberFormat="1" applyBorder="1" applyAlignment="1" applyProtection="1">
      <alignment horizontal="left" vertical="center"/>
    </xf>
    <xf numFmtId="182" fontId="3" fillId="0" borderId="1" xfId="5" applyNumberFormat="1" applyBorder="1" applyProtection="1">
      <alignment vertical="center"/>
    </xf>
    <xf numFmtId="180" fontId="20" fillId="0" borderId="21" xfId="5" applyNumberFormat="1" applyFont="1" applyBorder="1" applyAlignment="1" applyProtection="1">
      <alignment horizontal="center" vertical="center"/>
    </xf>
    <xf numFmtId="182" fontId="20" fillId="0" borderId="1" xfId="5" applyNumberFormat="1" applyFont="1" applyBorder="1" applyProtection="1">
      <alignment vertical="center"/>
    </xf>
    <xf numFmtId="0" fontId="23" fillId="4" borderId="0" xfId="5" applyFont="1" applyFill="1" applyBorder="1" applyAlignment="1" applyProtection="1">
      <alignment horizontal="right" vertical="center"/>
    </xf>
    <xf numFmtId="182" fontId="23" fillId="4" borderId="0" xfId="5" applyNumberFormat="1" applyFont="1" applyFill="1" applyBorder="1" applyProtection="1">
      <alignment vertical="center"/>
    </xf>
    <xf numFmtId="182" fontId="23" fillId="4" borderId="1" xfId="5" applyNumberFormat="1" applyFont="1" applyFill="1" applyBorder="1" applyProtection="1">
      <alignment vertical="center"/>
    </xf>
    <xf numFmtId="0" fontId="23" fillId="4" borderId="0" xfId="5" applyFont="1" applyFill="1" applyBorder="1" applyAlignment="1" applyProtection="1">
      <alignment horizontal="center" vertical="center"/>
    </xf>
    <xf numFmtId="180" fontId="20" fillId="0" borderId="22" xfId="5" applyNumberFormat="1" applyFont="1" applyBorder="1" applyAlignment="1" applyProtection="1">
      <alignment horizontal="center" vertical="center"/>
    </xf>
    <xf numFmtId="0" fontId="20" fillId="0" borderId="0" xfId="5" applyFont="1" applyProtection="1">
      <alignment vertical="center"/>
    </xf>
    <xf numFmtId="182" fontId="20" fillId="0" borderId="0" xfId="5" applyNumberFormat="1" applyFont="1" applyProtection="1">
      <alignment vertical="center"/>
    </xf>
    <xf numFmtId="0" fontId="3" fillId="0" borderId="23" xfId="5" applyBorder="1" applyProtection="1">
      <alignment vertical="center"/>
    </xf>
    <xf numFmtId="184" fontId="3" fillId="0" borderId="24" xfId="5" applyNumberFormat="1" applyBorder="1" applyAlignment="1" applyProtection="1">
      <alignment horizontal="left" vertical="center"/>
    </xf>
    <xf numFmtId="184" fontId="3" fillId="0" borderId="28" xfId="5" applyNumberFormat="1" applyBorder="1" applyAlignment="1" applyProtection="1">
      <alignment horizontal="left" vertical="center"/>
    </xf>
    <xf numFmtId="0" fontId="3" fillId="0" borderId="29" xfId="5" applyFill="1" applyBorder="1" applyAlignment="1" applyProtection="1">
      <alignment horizontal="center" vertical="center" wrapText="1"/>
    </xf>
    <xf numFmtId="0" fontId="3" fillId="0" borderId="22" xfId="5" applyFill="1" applyBorder="1" applyAlignment="1" applyProtection="1">
      <alignment horizontal="center" vertical="center" wrapText="1"/>
    </xf>
    <xf numFmtId="0" fontId="3" fillId="0" borderId="31" xfId="5" applyFill="1" applyBorder="1" applyAlignment="1" applyProtection="1">
      <alignment horizontal="center" vertical="center" wrapText="1"/>
    </xf>
    <xf numFmtId="0" fontId="3" fillId="0" borderId="0" xfId="5" applyFill="1" applyBorder="1" applyAlignment="1" applyProtection="1">
      <alignment horizontal="center" vertical="center" wrapText="1"/>
    </xf>
    <xf numFmtId="0" fontId="3" fillId="0" borderId="34" xfId="5" applyNumberFormat="1" applyFont="1" applyFill="1" applyBorder="1" applyAlignment="1" applyProtection="1">
      <alignment horizontal="center" vertical="center" wrapText="1"/>
    </xf>
    <xf numFmtId="0" fontId="24" fillId="0" borderId="0" xfId="5" applyFont="1" applyBorder="1" applyAlignment="1" applyProtection="1">
      <alignment horizontal="right" vertical="center"/>
    </xf>
    <xf numFmtId="0" fontId="25" fillId="0" borderId="0" xfId="5" applyFont="1" applyAlignment="1" applyProtection="1">
      <alignment horizontal="center" vertical="center"/>
    </xf>
    <xf numFmtId="0" fontId="26" fillId="0" borderId="0" xfId="5" applyFont="1" applyAlignment="1" applyProtection="1">
      <alignment horizontal="center" vertical="center"/>
    </xf>
    <xf numFmtId="0" fontId="5" fillId="0" borderId="0" xfId="5" applyFont="1" applyFill="1" applyBorder="1" applyAlignment="1" applyProtection="1">
      <alignment horizontal="center" vertical="center"/>
    </xf>
    <xf numFmtId="0" fontId="3" fillId="0" borderId="0" xfId="5" applyNumberFormat="1" applyProtection="1">
      <alignment vertical="center"/>
    </xf>
    <xf numFmtId="14" fontId="3" fillId="0" borderId="23" xfId="5" applyNumberFormat="1" applyBorder="1" applyAlignment="1" applyProtection="1">
      <alignment horizontal="left" vertical="center"/>
    </xf>
    <xf numFmtId="0" fontId="3" fillId="0" borderId="18" xfId="5" applyBorder="1" applyProtection="1">
      <alignment vertical="center"/>
    </xf>
    <xf numFmtId="0" fontId="3" fillId="0" borderId="2" xfId="5" applyBorder="1" applyAlignment="1" applyProtection="1">
      <alignment vertical="center"/>
    </xf>
    <xf numFmtId="0" fontId="3" fillId="0" borderId="1" xfId="5" applyBorder="1" applyAlignment="1" applyProtection="1">
      <alignment horizontal="left" vertical="center"/>
    </xf>
    <xf numFmtId="0" fontId="3" fillId="0" borderId="20" xfId="5" applyBorder="1" applyProtection="1">
      <alignment vertical="center"/>
    </xf>
    <xf numFmtId="0" fontId="23" fillId="4" borderId="18" xfId="5" applyFont="1" applyFill="1" applyBorder="1" applyProtection="1">
      <alignment vertical="center"/>
    </xf>
    <xf numFmtId="14" fontId="23" fillId="4" borderId="19" xfId="5" applyNumberFormat="1" applyFont="1" applyFill="1" applyBorder="1" applyAlignment="1" applyProtection="1">
      <alignment horizontal="left" vertical="center"/>
    </xf>
    <xf numFmtId="0" fontId="23" fillId="4" borderId="2" xfId="5" applyFont="1" applyFill="1" applyBorder="1" applyAlignment="1" applyProtection="1">
      <alignment vertical="center"/>
    </xf>
    <xf numFmtId="0" fontId="23" fillId="4" borderId="1" xfId="5" applyFont="1" applyFill="1" applyBorder="1" applyAlignment="1" applyProtection="1">
      <alignment horizontal="left" vertical="center"/>
    </xf>
    <xf numFmtId="0" fontId="23" fillId="4" borderId="20" xfId="5" applyFont="1" applyFill="1" applyBorder="1" applyProtection="1">
      <alignment vertical="center"/>
    </xf>
    <xf numFmtId="14" fontId="23" fillId="4" borderId="8" xfId="5" applyNumberFormat="1" applyFont="1" applyFill="1" applyBorder="1" applyAlignment="1" applyProtection="1">
      <alignment horizontal="left" vertical="center"/>
    </xf>
    <xf numFmtId="0" fontId="3" fillId="0" borderId="22" xfId="5" applyBorder="1" applyProtection="1">
      <alignment vertical="center"/>
    </xf>
    <xf numFmtId="14" fontId="3" fillId="0" borderId="22" xfId="5" applyNumberFormat="1" applyBorder="1" applyAlignment="1" applyProtection="1">
      <alignment horizontal="left" vertical="center"/>
    </xf>
    <xf numFmtId="0" fontId="3" fillId="0" borderId="0" xfId="5" applyFill="1" applyProtection="1">
      <alignment vertical="center"/>
    </xf>
    <xf numFmtId="0" fontId="3" fillId="0" borderId="35" xfId="5" applyBorder="1" applyProtection="1">
      <alignment vertical="center"/>
    </xf>
    <xf numFmtId="0" fontId="3" fillId="0" borderId="0" xfId="5" applyBorder="1" applyProtection="1">
      <alignment vertical="center"/>
    </xf>
    <xf numFmtId="0" fontId="3" fillId="3" borderId="7" xfId="5" applyFill="1" applyBorder="1" applyAlignment="1" applyProtection="1">
      <alignment horizontal="center" vertical="center"/>
      <protection locked="0"/>
    </xf>
    <xf numFmtId="0" fontId="3" fillId="3" borderId="9" xfId="5" applyFill="1" applyBorder="1" applyAlignment="1" applyProtection="1">
      <alignment horizontal="center" vertical="center"/>
      <protection locked="0"/>
    </xf>
    <xf numFmtId="14" fontId="3" fillId="0" borderId="4" xfId="5" applyNumberFormat="1" applyFill="1" applyBorder="1" applyProtection="1">
      <alignment vertical="center"/>
    </xf>
    <xf numFmtId="0" fontId="3" fillId="0" borderId="20" xfId="5" applyNumberFormat="1" applyFill="1" applyBorder="1" applyProtection="1">
      <alignment vertical="center"/>
    </xf>
    <xf numFmtId="0" fontId="20" fillId="0" borderId="0" xfId="5" applyFont="1" applyBorder="1" applyAlignment="1" applyProtection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52" xfId="5" applyFill="1" applyBorder="1" applyAlignment="1" applyProtection="1">
      <alignment horizontal="center" vertical="center"/>
      <protection locked="0"/>
    </xf>
    <xf numFmtId="0" fontId="3" fillId="2" borderId="53" xfId="5" applyFill="1" applyBorder="1" applyAlignment="1" applyProtection="1">
      <alignment horizontal="center" vertical="center"/>
      <protection locked="0"/>
    </xf>
    <xf numFmtId="0" fontId="3" fillId="2" borderId="54" xfId="5" applyFill="1" applyBorder="1" applyAlignment="1" applyProtection="1">
      <alignment horizontal="center" vertical="center"/>
      <protection locked="0"/>
    </xf>
    <xf numFmtId="0" fontId="3" fillId="2" borderId="55" xfId="5" applyFill="1" applyBorder="1" applyAlignment="1" applyProtection="1">
      <alignment horizontal="center" vertical="center"/>
      <protection locked="0"/>
    </xf>
    <xf numFmtId="14" fontId="3" fillId="2" borderId="50" xfId="5" applyNumberFormat="1" applyFill="1" applyBorder="1" applyAlignment="1" applyProtection="1">
      <alignment horizontal="center" vertical="center"/>
      <protection locked="0"/>
    </xf>
    <xf numFmtId="14" fontId="3" fillId="2" borderId="52" xfId="5" applyNumberFormat="1" applyFill="1" applyBorder="1" applyAlignment="1" applyProtection="1">
      <alignment horizontal="center" vertical="center"/>
      <protection locked="0"/>
    </xf>
    <xf numFmtId="14" fontId="3" fillId="2" borderId="51" xfId="5" applyNumberFormat="1" applyFill="1" applyBorder="1" applyAlignment="1" applyProtection="1">
      <alignment horizontal="center" vertical="center"/>
      <protection locked="0"/>
    </xf>
    <xf numFmtId="14" fontId="3" fillId="2" borderId="53" xfId="5" applyNumberFormat="1" applyFill="1" applyBorder="1" applyAlignment="1" applyProtection="1">
      <alignment horizontal="center" vertical="center"/>
      <protection locked="0"/>
    </xf>
    <xf numFmtId="14" fontId="3" fillId="0" borderId="0" xfId="0" applyNumberFormat="1" applyFont="1">
      <alignment vertical="center"/>
    </xf>
    <xf numFmtId="14" fontId="3" fillId="0" borderId="0" xfId="0" applyNumberFormat="1" applyFont="1" applyAlignment="1">
      <alignment horizontal="center" vertical="center"/>
    </xf>
    <xf numFmtId="14" fontId="3" fillId="2" borderId="57" xfId="5" applyNumberFormat="1" applyFill="1" applyBorder="1" applyAlignment="1" applyProtection="1">
      <alignment horizontal="center" vertical="center"/>
      <protection locked="0"/>
    </xf>
    <xf numFmtId="0" fontId="3" fillId="0" borderId="58" xfId="0" applyFont="1" applyFill="1" applyBorder="1" applyAlignment="1">
      <alignment horizontal="center" vertical="center"/>
    </xf>
    <xf numFmtId="0" fontId="3" fillId="0" borderId="56" xfId="5" applyFill="1" applyBorder="1" applyAlignment="1" applyProtection="1">
      <alignment horizontal="center" vertical="center"/>
    </xf>
    <xf numFmtId="0" fontId="3" fillId="0" borderId="35" xfId="5" applyBorder="1" applyProtection="1">
      <alignment vertical="center"/>
    </xf>
    <xf numFmtId="183" fontId="3" fillId="4" borderId="29" xfId="5" applyNumberFormat="1" applyFont="1" applyFill="1" applyBorder="1" applyAlignment="1" applyProtection="1">
      <alignment horizontal="center" vertical="center"/>
    </xf>
    <xf numFmtId="183" fontId="3" fillId="4" borderId="22" xfId="5" applyNumberFormat="1" applyFont="1" applyFill="1" applyBorder="1" applyAlignment="1" applyProtection="1">
      <alignment horizontal="center" vertical="center"/>
    </xf>
    <xf numFmtId="183" fontId="3" fillId="4" borderId="30" xfId="5" applyNumberFormat="1" applyFont="1" applyFill="1" applyBorder="1" applyAlignment="1" applyProtection="1">
      <alignment horizontal="center" vertical="center"/>
    </xf>
    <xf numFmtId="183" fontId="3" fillId="4" borderId="31" xfId="5" applyNumberFormat="1" applyFont="1" applyFill="1" applyBorder="1" applyAlignment="1" applyProtection="1">
      <alignment horizontal="center" vertical="center"/>
    </xf>
    <xf numFmtId="183" fontId="3" fillId="4" borderId="0" xfId="5" applyNumberFormat="1" applyFont="1" applyFill="1" applyBorder="1" applyAlignment="1" applyProtection="1">
      <alignment horizontal="center" vertical="center"/>
    </xf>
    <xf numFmtId="183" fontId="3" fillId="4" borderId="32" xfId="5" applyNumberFormat="1" applyFont="1" applyFill="1" applyBorder="1" applyAlignment="1" applyProtection="1">
      <alignment horizontal="center" vertical="center"/>
    </xf>
    <xf numFmtId="0" fontId="3" fillId="0" borderId="0" xfId="5" applyNumberFormat="1" applyFill="1" applyAlignment="1" applyProtection="1">
      <alignment vertical="center" wrapText="1"/>
    </xf>
    <xf numFmtId="181" fontId="3" fillId="5" borderId="35" xfId="5" applyNumberFormat="1" applyFill="1" applyBorder="1" applyAlignment="1" applyProtection="1">
      <alignment horizontal="center" vertical="center"/>
    </xf>
    <xf numFmtId="181" fontId="3" fillId="5" borderId="0" xfId="5" applyNumberFormat="1" applyFill="1" applyBorder="1" applyAlignment="1" applyProtection="1">
      <alignment horizontal="center" vertical="center"/>
    </xf>
    <xf numFmtId="0" fontId="3" fillId="5" borderId="35" xfId="5" applyNumberFormat="1" applyFont="1" applyFill="1" applyBorder="1" applyAlignment="1" applyProtection="1">
      <alignment horizontal="center" vertical="center"/>
    </xf>
    <xf numFmtId="0" fontId="3" fillId="5" borderId="0" xfId="5" applyNumberFormat="1" applyFont="1" applyFill="1" applyBorder="1" applyAlignment="1" applyProtection="1">
      <alignment horizontal="center" vertical="center"/>
    </xf>
    <xf numFmtId="0" fontId="24" fillId="0" borderId="35" xfId="5" applyNumberFormat="1" applyFont="1" applyFill="1" applyBorder="1" applyAlignment="1" applyProtection="1">
      <alignment horizontal="center" vertical="center"/>
    </xf>
    <xf numFmtId="0" fontId="24" fillId="0" borderId="0" xfId="5" applyNumberFormat="1" applyFont="1" applyFill="1" applyBorder="1" applyAlignment="1" applyProtection="1">
      <alignment horizontal="center" vertical="center"/>
    </xf>
    <xf numFmtId="0" fontId="3" fillId="0" borderId="31" xfId="5" applyNumberFormat="1" applyFont="1" applyFill="1" applyBorder="1" applyAlignment="1" applyProtection="1">
      <alignment horizontal="center" vertical="center" wrapText="1"/>
    </xf>
    <xf numFmtId="0" fontId="3" fillId="0" borderId="33" xfId="5" applyNumberFormat="1" applyFont="1" applyFill="1" applyBorder="1" applyAlignment="1" applyProtection="1">
      <alignment horizontal="center" vertical="center" wrapText="1"/>
    </xf>
    <xf numFmtId="0" fontId="3" fillId="0" borderId="0" xfId="5" applyNumberFormat="1" applyFont="1" applyFill="1" applyBorder="1" applyAlignment="1" applyProtection="1">
      <alignment horizontal="center" vertical="center" wrapText="1"/>
    </xf>
    <xf numFmtId="0" fontId="24" fillId="0" borderId="0" xfId="5" applyFont="1" applyBorder="1" applyAlignment="1" applyProtection="1">
      <alignment horizontal="right" vertical="center"/>
    </xf>
    <xf numFmtId="0" fontId="24" fillId="0" borderId="0" xfId="5" applyNumberFormat="1" applyFont="1" applyFill="1" applyBorder="1" applyAlignment="1" applyProtection="1">
      <alignment horizontal="left" vertical="center"/>
    </xf>
    <xf numFmtId="178" fontId="20" fillId="0" borderId="4" xfId="5" applyNumberFormat="1" applyFont="1" applyBorder="1" applyAlignment="1" applyProtection="1">
      <alignment horizontal="right" vertical="center"/>
    </xf>
    <xf numFmtId="178" fontId="20" fillId="0" borderId="21" xfId="5" applyNumberFormat="1" applyFont="1" applyBorder="1" applyAlignment="1" applyProtection="1">
      <alignment horizontal="right" vertical="center"/>
    </xf>
    <xf numFmtId="178" fontId="20" fillId="0" borderId="0" xfId="5" applyNumberFormat="1" applyFont="1" applyAlignment="1" applyProtection="1">
      <alignment horizontal="center" vertical="center"/>
    </xf>
    <xf numFmtId="184" fontId="3" fillId="0" borderId="24" xfId="5" applyNumberFormat="1" applyBorder="1" applyAlignment="1" applyProtection="1">
      <alignment horizontal="left" vertical="center"/>
    </xf>
    <xf numFmtId="184" fontId="3" fillId="0" borderId="25" xfId="5" applyNumberFormat="1" applyBorder="1" applyAlignment="1" applyProtection="1">
      <alignment horizontal="left" vertical="center"/>
    </xf>
    <xf numFmtId="184" fontId="3" fillId="0" borderId="26" xfId="5" applyNumberFormat="1" applyBorder="1" applyAlignment="1" applyProtection="1">
      <alignment horizontal="left" vertical="center"/>
    </xf>
    <xf numFmtId="184" fontId="3" fillId="0" borderId="27" xfId="5" applyNumberFormat="1" applyBorder="1" applyAlignment="1" applyProtection="1">
      <alignment horizontal="left" vertical="center"/>
    </xf>
    <xf numFmtId="184" fontId="3" fillId="0" borderId="23" xfId="5" applyNumberFormat="1" applyBorder="1" applyAlignment="1" applyProtection="1">
      <alignment horizontal="left" vertical="center"/>
    </xf>
    <xf numFmtId="182" fontId="3" fillId="0" borderId="3" xfId="5" applyNumberFormat="1" applyBorder="1" applyAlignment="1" applyProtection="1">
      <alignment horizontal="center" vertical="center"/>
    </xf>
    <xf numFmtId="0" fontId="3" fillId="0" borderId="3" xfId="5" applyBorder="1" applyAlignment="1" applyProtection="1">
      <alignment horizontal="center" vertical="center"/>
    </xf>
    <xf numFmtId="180" fontId="3" fillId="0" borderId="17" xfId="5" applyNumberFormat="1" applyBorder="1" applyAlignment="1" applyProtection="1">
      <alignment horizontal="center" vertical="center"/>
    </xf>
    <xf numFmtId="180" fontId="3" fillId="0" borderId="14" xfId="5" applyNumberFormat="1" applyBorder="1" applyAlignment="1" applyProtection="1">
      <alignment horizontal="center" vertical="center"/>
    </xf>
    <xf numFmtId="177" fontId="3" fillId="0" borderId="3" xfId="5" applyNumberFormat="1" applyBorder="1" applyAlignment="1" applyProtection="1">
      <alignment horizontal="center" vertical="center"/>
    </xf>
    <xf numFmtId="0" fontId="3" fillId="0" borderId="0" xfId="5" applyFont="1" applyBorder="1" applyAlignment="1" applyProtection="1">
      <alignment horizontal="center" vertical="center"/>
    </xf>
    <xf numFmtId="0" fontId="3" fillId="0" borderId="0" xfId="5" applyAlignment="1" applyProtection="1">
      <alignment horizontal="center" vertical="center"/>
    </xf>
    <xf numFmtId="182" fontId="23" fillId="4" borderId="3" xfId="5" applyNumberFormat="1" applyFont="1" applyFill="1" applyBorder="1" applyAlignment="1" applyProtection="1">
      <alignment horizontal="center" vertical="center"/>
    </xf>
    <xf numFmtId="0" fontId="23" fillId="4" borderId="3" xfId="5" applyFont="1" applyFill="1" applyBorder="1" applyAlignment="1" applyProtection="1">
      <alignment horizontal="center" vertical="center"/>
    </xf>
    <xf numFmtId="180" fontId="3" fillId="0" borderId="3" xfId="5" applyNumberFormat="1" applyFont="1" applyFill="1" applyBorder="1" applyAlignment="1" applyProtection="1">
      <alignment horizontal="center" vertical="center"/>
    </xf>
    <xf numFmtId="180" fontId="3" fillId="0" borderId="3" xfId="5" applyNumberFormat="1" applyBorder="1" applyAlignment="1" applyProtection="1">
      <alignment horizontal="center" vertical="center"/>
    </xf>
    <xf numFmtId="177" fontId="3" fillId="0" borderId="17" xfId="5" applyNumberFormat="1" applyBorder="1" applyAlignment="1" applyProtection="1">
      <alignment horizontal="center" vertical="center"/>
    </xf>
    <xf numFmtId="177" fontId="3" fillId="0" borderId="14" xfId="5" applyNumberFormat="1" applyBorder="1" applyAlignment="1" applyProtection="1">
      <alignment horizontal="center" vertical="center"/>
    </xf>
    <xf numFmtId="0" fontId="3" fillId="0" borderId="4" xfId="5" applyBorder="1" applyAlignment="1" applyProtection="1">
      <alignment horizontal="center" vertical="center"/>
    </xf>
    <xf numFmtId="0" fontId="3" fillId="0" borderId="10" xfId="5" applyBorder="1" applyAlignment="1" applyProtection="1">
      <alignment horizontal="center" vertical="center"/>
    </xf>
    <xf numFmtId="0" fontId="3" fillId="3" borderId="46" xfId="5" applyFill="1" applyBorder="1" applyAlignment="1" applyProtection="1">
      <alignment horizontal="left" vertical="center"/>
      <protection locked="0"/>
    </xf>
    <xf numFmtId="0" fontId="3" fillId="3" borderId="47" xfId="5" applyFill="1" applyBorder="1" applyAlignment="1" applyProtection="1">
      <alignment horizontal="left" vertical="center"/>
      <protection locked="0"/>
    </xf>
    <xf numFmtId="0" fontId="3" fillId="3" borderId="48" xfId="5" applyFill="1" applyBorder="1" applyAlignment="1" applyProtection="1">
      <alignment horizontal="left" vertical="center"/>
      <protection locked="0"/>
    </xf>
    <xf numFmtId="0" fontId="3" fillId="0" borderId="12" xfId="5" applyBorder="1" applyAlignment="1" applyProtection="1">
      <alignment horizontal="center" vertical="center"/>
    </xf>
    <xf numFmtId="0" fontId="3" fillId="3" borderId="46" xfId="5" applyNumberFormat="1" applyFill="1" applyBorder="1" applyAlignment="1" applyProtection="1">
      <alignment horizontal="left" vertical="center"/>
      <protection locked="0"/>
    </xf>
    <xf numFmtId="0" fontId="3" fillId="3" borderId="49" xfId="5" applyNumberFormat="1" applyFill="1" applyBorder="1" applyAlignment="1" applyProtection="1">
      <alignment horizontal="left" vertical="center"/>
      <protection locked="0"/>
    </xf>
    <xf numFmtId="0" fontId="21" fillId="0" borderId="3" xfId="5" applyFont="1" applyBorder="1" applyAlignment="1" applyProtection="1">
      <alignment horizontal="center" vertical="center"/>
    </xf>
    <xf numFmtId="0" fontId="22" fillId="0" borderId="15" xfId="5" applyFont="1" applyBorder="1" applyAlignment="1" applyProtection="1">
      <alignment horizontal="center" vertical="center"/>
    </xf>
    <xf numFmtId="0" fontId="22" fillId="0" borderId="16" xfId="5" applyFont="1" applyBorder="1" applyAlignment="1" applyProtection="1">
      <alignment horizontal="center" vertical="center"/>
    </xf>
    <xf numFmtId="0" fontId="19" fillId="0" borderId="0" xfId="5" applyFont="1" applyAlignment="1" applyProtection="1">
      <alignment horizontal="center" vertical="center"/>
    </xf>
    <xf numFmtId="0" fontId="3" fillId="0" borderId="3" xfId="5" applyFont="1" applyBorder="1" applyAlignment="1" applyProtection="1">
      <alignment horizontal="center" vertical="center"/>
    </xf>
    <xf numFmtId="0" fontId="3" fillId="0" borderId="4" xfId="5" applyFont="1" applyBorder="1" applyAlignment="1" applyProtection="1">
      <alignment horizontal="center" vertical="center"/>
    </xf>
    <xf numFmtId="14" fontId="3" fillId="2" borderId="6" xfId="5" applyNumberFormat="1" applyFill="1" applyBorder="1" applyAlignment="1" applyProtection="1">
      <alignment horizontal="center" vertical="center"/>
      <protection locked="0"/>
    </xf>
    <xf numFmtId="14" fontId="3" fillId="2" borderId="36" xfId="5" applyNumberFormat="1" applyFill="1" applyBorder="1" applyAlignment="1" applyProtection="1">
      <alignment horizontal="center" vertical="center"/>
      <protection locked="0"/>
    </xf>
    <xf numFmtId="0" fontId="3" fillId="0" borderId="2" xfId="5" applyBorder="1" applyAlignment="1" applyProtection="1">
      <alignment horizontal="center" vertical="center"/>
    </xf>
    <xf numFmtId="0" fontId="3" fillId="0" borderId="0" xfId="5" applyBorder="1" applyAlignment="1" applyProtection="1">
      <alignment horizontal="center" vertical="center"/>
    </xf>
    <xf numFmtId="0" fontId="3" fillId="0" borderId="5" xfId="5" applyBorder="1" applyAlignment="1" applyProtection="1">
      <alignment horizontal="center" vertical="center"/>
    </xf>
  </cellXfs>
  <cellStyles count="45">
    <cellStyle name="20% - 輔色1" xfId="6"/>
    <cellStyle name="20% - 輔色2" xfId="4"/>
    <cellStyle name="20% - 輔色3" xfId="2"/>
    <cellStyle name="20% - 輔色4" xfId="11"/>
    <cellStyle name="20% - 輔色5" xfId="7"/>
    <cellStyle name="20% - 輔色6" xfId="13"/>
    <cellStyle name="40% - 輔色1" xfId="1"/>
    <cellStyle name="40% - 輔色2" xfId="12"/>
    <cellStyle name="40% - 輔色3" xfId="8"/>
    <cellStyle name="40% - 輔色4" xfId="14"/>
    <cellStyle name="40% - 輔色5" xfId="17"/>
    <cellStyle name="40% - 輔色6" xfId="19"/>
    <cellStyle name="60% - 輔色1" xfId="9"/>
    <cellStyle name="60% - 輔色2" xfId="15"/>
    <cellStyle name="60% - 輔色3" xfId="18"/>
    <cellStyle name="60% - 輔色4" xfId="20"/>
    <cellStyle name="60% - 輔色5" xfId="22"/>
    <cellStyle name="60% - 輔色6" xfId="24"/>
    <cellStyle name="一般" xfId="0" builtinId="0"/>
    <cellStyle name="一般 2" xfId="5"/>
    <cellStyle name="一般_正航資訊-特休曆年制換算個人週年制(閏年)1111" xfId="26"/>
    <cellStyle name="中等" xfId="27"/>
    <cellStyle name="合計" xfId="16"/>
    <cellStyle name="好" xfId="28"/>
    <cellStyle name="計算方式" xfId="30"/>
    <cellStyle name="貨幣[0]" xfId="10"/>
    <cellStyle name="連結的儲存格" xfId="31"/>
    <cellStyle name="備註" xfId="32"/>
    <cellStyle name="說明文字" xfId="33"/>
    <cellStyle name="輔色1" xfId="34"/>
    <cellStyle name="輔色2" xfId="35"/>
    <cellStyle name="輔色3" xfId="36"/>
    <cellStyle name="輔色4" xfId="37"/>
    <cellStyle name="輔色5" xfId="38"/>
    <cellStyle name="輔色6" xfId="39"/>
    <cellStyle name="標題" xfId="3"/>
    <cellStyle name="標題 1" xfId="21"/>
    <cellStyle name="標題 2" xfId="23"/>
    <cellStyle name="標題 3" xfId="25"/>
    <cellStyle name="標題 4" xfId="40"/>
    <cellStyle name="輸入" xfId="29"/>
    <cellStyle name="輸出" xfId="41"/>
    <cellStyle name="檢查儲存格" xfId="42"/>
    <cellStyle name="壞" xfId="43"/>
    <cellStyle name="警告文字" xfId="44"/>
  </cellStyles>
  <dxfs count="4">
    <dxf>
      <font>
        <b val="0"/>
        <i val="0"/>
        <color indexed="9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 val="0"/>
        <i val="0"/>
        <color indexed="9"/>
      </font>
      <fill>
        <patternFill>
          <fgColor indexed="10"/>
          <bgColor indexed="9"/>
        </patternFill>
      </fill>
      <border>
        <left/>
        <right/>
        <top/>
        <bottom/>
      </border>
    </dxf>
    <dxf>
      <font>
        <b/>
        <i val="0"/>
        <color indexed="10"/>
      </font>
      <fill>
        <patternFill>
          <fgColor indexed="10"/>
          <bgColor indexed="42"/>
        </patternFill>
      </fill>
      <border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dxf>
    <dxf>
      <font>
        <b val="0"/>
        <i val="0"/>
        <color indexed="22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0000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rou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40"/>
  <sheetViews>
    <sheetView showGridLines="0" tabSelected="1" workbookViewId="0">
      <pane ySplit="8" topLeftCell="A9" activePane="bottomLeft" state="frozen"/>
      <selection pane="bottomLeft" activeCell="C3" sqref="C3"/>
    </sheetView>
  </sheetViews>
  <sheetFormatPr defaultColWidth="9" defaultRowHeight="16.2"/>
  <cols>
    <col min="1" max="1" width="18.77734375" style="3" customWidth="1"/>
    <col min="2" max="2" width="4.109375" style="3" customWidth="1"/>
    <col min="3" max="3" width="11.77734375" style="3" customWidth="1"/>
    <col min="4" max="4" width="11.44140625" style="3" customWidth="1"/>
    <col min="5" max="5" width="3.33203125" style="3" customWidth="1"/>
    <col min="6" max="6" width="11" style="3" customWidth="1"/>
    <col min="7" max="7" width="10.6640625" style="3" customWidth="1"/>
    <col min="8" max="8" width="8.88671875" style="3" customWidth="1"/>
    <col min="9" max="9" width="15.33203125" style="3" customWidth="1"/>
    <col min="10" max="10" width="2.88671875" style="3" customWidth="1"/>
    <col min="11" max="11" width="11.109375" style="3" customWidth="1"/>
    <col min="12" max="12" width="2.88671875" style="3" customWidth="1"/>
    <col min="13" max="13" width="10.44140625" style="3" customWidth="1"/>
    <col min="14" max="16382" width="9" style="3"/>
  </cols>
  <sheetData>
    <row r="1" spans="1:13" ht="48.75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42"/>
      <c r="M1" s="43"/>
    </row>
    <row r="2" spans="1:13" ht="18" customHeight="1">
      <c r="A2" s="4" t="s">
        <v>1</v>
      </c>
      <c r="B2" s="5"/>
      <c r="C2" s="6"/>
      <c r="D2" s="7"/>
      <c r="E2" s="7"/>
      <c r="G2" s="4" t="s">
        <v>2</v>
      </c>
    </row>
    <row r="3" spans="1:13" ht="17.399999999999999" thickTop="1" thickBot="1">
      <c r="A3" s="136" t="s">
        <v>3</v>
      </c>
      <c r="B3" s="137"/>
      <c r="C3" s="81">
        <v>41052</v>
      </c>
      <c r="G3" s="8" t="s">
        <v>4</v>
      </c>
      <c r="H3" s="138" t="s">
        <v>5</v>
      </c>
      <c r="I3" s="139"/>
    </row>
    <row r="4" spans="1:13" ht="16.8" thickTop="1">
      <c r="A4" s="136" t="s">
        <v>6</v>
      </c>
      <c r="B4" s="137"/>
      <c r="C4" s="83">
        <f>SUMIF(留停紀錄!C2:C10,"&lt;"&amp;C7,留停紀錄!D2:D10)</f>
        <v>0</v>
      </c>
      <c r="D4" s="61" t="s">
        <v>45</v>
      </c>
      <c r="E4" s="7"/>
      <c r="G4" s="142" t="s">
        <v>7</v>
      </c>
      <c r="H4" s="62">
        <v>8</v>
      </c>
      <c r="I4" s="3" t="s">
        <v>8</v>
      </c>
      <c r="J4" s="44">
        <f>IF($H$3="自訂年制",$H$4,1)</f>
        <v>1</v>
      </c>
    </row>
    <row r="5" spans="1:13" ht="16.8" thickBot="1">
      <c r="A5" s="136" t="s">
        <v>9</v>
      </c>
      <c r="B5" s="136"/>
      <c r="C5" s="9">
        <f>$C$3+$C$4</f>
        <v>41052</v>
      </c>
      <c r="D5" s="140" t="str">
        <f ca="1">DATEDIF($C$5,TODAY()+1,"Y")&amp;"年"&amp;DATEDIF($C$5,TODAY()+1,"yM")&amp;"個月"&amp;DATEDIF($C$5,TODAY()+1,"md")&amp;"天（即時年資）"</f>
        <v>8年6個月24天（即時年資）</v>
      </c>
      <c r="E5" s="141"/>
      <c r="F5" s="141"/>
      <c r="G5" s="142"/>
      <c r="H5" s="63">
        <v>1</v>
      </c>
      <c r="I5" s="3" t="s">
        <v>10</v>
      </c>
      <c r="J5" s="44">
        <f>IF($H$3="自訂年制",$H$5,1)</f>
        <v>1</v>
      </c>
    </row>
    <row r="6" spans="1:13" ht="8.1" customHeight="1">
      <c r="A6" s="6"/>
      <c r="B6" s="6"/>
      <c r="C6" s="6"/>
      <c r="D6" s="7"/>
      <c r="E6" s="7"/>
    </row>
    <row r="7" spans="1:13" ht="17.399999999999999" thickTop="1" thickBot="1">
      <c r="A7" s="124" t="s">
        <v>11</v>
      </c>
      <c r="B7" s="125"/>
      <c r="C7" s="11">
        <v>43101</v>
      </c>
      <c r="G7" s="64" t="s">
        <v>12</v>
      </c>
      <c r="H7" s="126" t="s">
        <v>38</v>
      </c>
      <c r="I7" s="127"/>
      <c r="J7" s="128"/>
      <c r="K7" s="45"/>
    </row>
    <row r="8" spans="1:13" ht="17.399999999999999" thickTop="1" thickBot="1">
      <c r="A8" s="124" t="s">
        <v>14</v>
      </c>
      <c r="B8" s="129"/>
      <c r="C8" s="12">
        <f>IF(DATEDIF($C$5,$C$7,"Y")&lt;1,DATEDIF($C$5,$C$7,"yM")/12,DATEDIF($C$5,$C$7,"Y"))</f>
        <v>5</v>
      </c>
      <c r="D8" s="7"/>
      <c r="E8" s="7"/>
      <c r="G8" s="65" t="s">
        <v>15</v>
      </c>
      <c r="H8" s="130" t="s">
        <v>16</v>
      </c>
      <c r="I8" s="131"/>
    </row>
    <row r="9" spans="1:13" ht="16.8" thickTop="1">
      <c r="A9" s="13"/>
      <c r="B9" s="14"/>
      <c r="C9" s="6"/>
      <c r="D9" s="7"/>
      <c r="E9" s="7"/>
      <c r="F9" s="13"/>
    </row>
    <row r="10" spans="1:13" ht="24.6">
      <c r="A10" s="132" t="s">
        <v>5</v>
      </c>
      <c r="B10" s="132"/>
      <c r="C10" s="132"/>
      <c r="D10" s="132"/>
      <c r="E10" s="15"/>
      <c r="F10" s="133" t="s">
        <v>17</v>
      </c>
      <c r="G10" s="134"/>
      <c r="H10" s="134"/>
      <c r="I10" s="132" t="str">
        <f>IF(H3="週年制","曆年制",H3)</f>
        <v>曆年制</v>
      </c>
      <c r="J10" s="132"/>
      <c r="K10" s="132"/>
    </row>
    <row r="11" spans="1:13" ht="20.100000000000001" customHeight="1">
      <c r="A11" s="16" t="s">
        <v>18</v>
      </c>
      <c r="B11" s="116" t="s">
        <v>19</v>
      </c>
      <c r="C11" s="116"/>
      <c r="D11" s="7" t="s">
        <v>20</v>
      </c>
      <c r="E11" s="7"/>
      <c r="F11" s="16" t="str">
        <f>IF(LEFT($H$8,1)="1","天數比例","月數比例")</f>
        <v>天數比例</v>
      </c>
      <c r="G11" s="16" t="s">
        <v>21</v>
      </c>
      <c r="H11" s="16" t="s">
        <v>22</v>
      </c>
      <c r="I11" s="16" t="s">
        <v>23</v>
      </c>
      <c r="J11" s="117" t="s">
        <v>19</v>
      </c>
      <c r="K11" s="117"/>
    </row>
    <row r="12" spans="1:13">
      <c r="A12" s="122">
        <f>IF($C12="","",IF(DATEDIF($C$5,$C12,"M")/12&lt;0.5,0,IF(DATEDIF($C$5,$C12,"Y")&lt;1,0.5,DATEDIF($C$5,$C12,"Y"))))</f>
        <v>4</v>
      </c>
      <c r="B12" s="17" t="s">
        <v>24</v>
      </c>
      <c r="C12" s="18">
        <f>IF($C$8&lt;0.5,"",IF($C$8&lt;=1,DATE(YEAR($C$13+1),MONTH($C$13+1)-6,DAY($C$13+1)),DATE(YEAR($C$15)-1,MONTH($C$15),DAY($C$15))))</f>
        <v>42513</v>
      </c>
      <c r="D12" s="120">
        <f>IF($C12="","",IF(AND($C$5&lt;42370,$C12&lt;DATE(2017,MONTH($C$5),DAY($C$5))),VLOOKUP($A12,新舊週年制比較!$A$1:$D$33,2),IF($C12&lt;42736,0,IF(OR($D14=0,$D14=""),VLOOKUP($A12,新舊週年制比較!$A$1:$D$33,3),0))))</f>
        <v>10</v>
      </c>
      <c r="E12" s="10" t="s">
        <v>25</v>
      </c>
      <c r="F12" s="19" t="str">
        <f>IF(K12="","",IF(LEFT($H$8,1)="1",IF(K13&lt;C12,C12,K13)-C12&amp;"/"&amp;C13-C12+1&amp;"＝",DATEDIF(C12,IF(K13&lt;C12,C12,K13),"M")&amp;"/"&amp;DATEDIF(C12,C13,"M")+1&amp;"＝"))</f>
        <v>223/365＝</v>
      </c>
      <c r="G12" s="20">
        <f>IF(K12="","",D12*IF(LEFT($H$8,1)="1",(IF(K13&lt;C12,C12,K13)-C12)/(C13-C12+1),DATEDIF(C12,IF(K13&lt;C12,C12,K13),"M")/(DATEDIF(C12,C13,"M")+1)))</f>
        <v>6.1095890410958908</v>
      </c>
      <c r="H12" s="20">
        <f t="shared" ref="H12" si="0">IF(K12="","",IF(VALUE(LEFT($H$7,1))=4,ROUND($G12*8,0),ROUND($G12,VALUE(LEFT($H$7,1)))))</f>
        <v>6.11</v>
      </c>
      <c r="I12" s="33"/>
      <c r="J12" s="33" t="s">
        <v>26</v>
      </c>
      <c r="K12" s="46">
        <f>IF($K13=$C12,IF(AND(MONTH($C$5)=$J$4,DAY($C$5)=$J$5),K13-1,""),K13-1)</f>
        <v>42735</v>
      </c>
    </row>
    <row r="13" spans="1:13">
      <c r="A13" s="123"/>
      <c r="B13" s="21" t="s">
        <v>26</v>
      </c>
      <c r="C13" s="22">
        <f>IF($C$8&lt;0.5,"",IF($C$8&lt;1,$C$15-1,DATE(YEAR($C$16)-1,MONTH($C$16),DAY($C$16))))</f>
        <v>42877</v>
      </c>
      <c r="D13" s="120"/>
      <c r="E13" s="10" t="s">
        <v>25</v>
      </c>
      <c r="F13" s="19" t="str">
        <f>IF(K13="","",IF(LEFT($H$8,1)="1",C13-IF(K13&lt;C12,C12,K13)+1&amp;"/"&amp;C13-C12+1&amp;"＝",DATEDIF(IF(K13&lt;C12,C12,K13),C13,"M")+1&amp;"/"&amp;DATEDIF(C12,C13,"M")+1&amp;"＝"))</f>
        <v>142/365＝</v>
      </c>
      <c r="G13" s="20">
        <f>IF(K13="","",D12*IF(LEFT($H$8,1)="1",(C13-IF(K13&lt;C12,C12,K13)+1)/(C13-C12+1),(DATEDIF(IF(K13&lt;C12,C12,K13),C13,"M")+1)/(DATEDIF(C12,C13,"M")+1)))</f>
        <v>3.8904109589041096</v>
      </c>
      <c r="H13" s="23">
        <f>IF(K13="","",IF(VALUE(LEFT($H$7,1))=4,ROUND($G13*8,0),ROUND($G13,VALUE(LEFT($H$7,1)))))</f>
        <v>3.89</v>
      </c>
      <c r="I13" s="111" t="str">
        <f>SUM(H13:H15)&amp;IF(VALUE(LEFT($H$7,1))=4,"小時","天("&amp;ROUND(SUM(H13:H15)*8,0)&amp;"小時)")</f>
        <v>17.05天(136小時)</v>
      </c>
      <c r="J13" s="47" t="s">
        <v>24</v>
      </c>
      <c r="K13" s="18">
        <f>IF(DATE(YEAR($C13),$J$4,$J$5)&gt;$C13,DATE(YEAR($C13)-1,$J$4,$J$5),IF(DATE(YEAR($C12),$J$4,$J$5)&lt;IF($A12=0.5,SA9,$C12),DATE(YEAR($C12)+1,$J$4,$J$5),DATE(YEAR($C13),$J$4,$J$5)))</f>
        <v>42736</v>
      </c>
    </row>
    <row r="14" spans="1:13">
      <c r="A14" s="103">
        <f>IF(D14="","",C13)</f>
        <v>42877</v>
      </c>
      <c r="B14" s="104"/>
      <c r="C14" s="104"/>
      <c r="D14" s="24">
        <f>IF($C12="","",IF(YEAR($C12)&gt;=2017,"",IF(YEAR($C13)=2017,VLOOKUP($A12,新舊週年制比較!$A$1:$D$33,4),"")))</f>
        <v>4</v>
      </c>
      <c r="E14" s="6" t="str">
        <f>IF($D14="","","→")</f>
        <v>→</v>
      </c>
      <c r="F14" s="6" t="str">
        <f t="shared" ref="F14" si="1">IF($D14="","","→")</f>
        <v>→</v>
      </c>
      <c r="G14" s="66" t="str">
        <f>IF($D14="","",IF(VALUE(LEFT($H$7,1))=4,D14,"→"))</f>
        <v>→</v>
      </c>
      <c r="H14" s="25">
        <f>IF($D14="","",IF(VALUE(LEFT($H$7,1))=4,D14*8,D14))</f>
        <v>4</v>
      </c>
      <c r="I14" s="112"/>
      <c r="J14" s="48"/>
      <c r="K14" s="49"/>
    </row>
    <row r="15" spans="1:13">
      <c r="A15" s="115">
        <f>IF(DATEDIF($C$5,$C15,"M")/12&lt;0.5,0,IF(DATEDIF($C$5,$C15,"Y")&lt;1,0.5,DATEDIF($C$5,$C15,"Y")))</f>
        <v>5</v>
      </c>
      <c r="B15" s="17" t="s">
        <v>24</v>
      </c>
      <c r="C15" s="18">
        <f>IF($C$8&lt;1,IF(DATE(YEAR($C$16+1),MONTH($C$16+1)-6,DAY($C$16+1))&lt;42736,42736,DATE(YEAR($C$16+1),MONTH($C$16+1)-6,DAY($C$16+1))),DATE(YEAR($C$16+1)-1,MONTH($C$16+1),DAY($C$16+1)))</f>
        <v>42878</v>
      </c>
      <c r="D15" s="121">
        <f>IF(AND($C$5&lt;42370,$C15&lt;DATE(2017,MONTH($C$5),DAY($C$5))),VLOOKUP($A15,新舊週年制比較!$A$1:$D$33,2),IF($C15&lt;42736,0,IF(OR($D17=0,$D17=""),VLOOKUP($A15,新舊週年制比較!$A$1:$D$33,3),0)))</f>
        <v>15</v>
      </c>
      <c r="E15" s="10" t="s">
        <v>25</v>
      </c>
      <c r="F15" s="19" t="str">
        <f>IF(K15="","",IF(LEFT($H$8,1)="1",IF(K16&lt;C15,C15,K16)-C15&amp;"/"&amp;C16-C15+1&amp;"＝",DATEDIF(C15,IF(K16&lt;C15,C15,K16),"M")&amp;"/"&amp;DATEDIF(C15,C16,"M")+1&amp;"＝"))</f>
        <v>223/365＝</v>
      </c>
      <c r="G15" s="20">
        <f>IF(K15="","",D15*IF(LEFT($H$8,1)="1",(IF(K16&lt;C15,C15,K16)-C15)/(C16-C15+1),DATEDIF(C15,IF(K16&lt;C15,C15,K16),"M")/(DATEDIF(C15,C16,"M")+1)))</f>
        <v>9.1643835616438363</v>
      </c>
      <c r="H15" s="23">
        <f>IF(K15="","",IF(VALUE(LEFT($H$7,1))=4,ROUND($G15*8,0),ROUND($G15,VALUE(LEFT($H$7,1)))))</f>
        <v>9.16</v>
      </c>
      <c r="I15" s="112"/>
      <c r="J15" s="50" t="s">
        <v>26</v>
      </c>
      <c r="K15" s="22">
        <f>IF($K16=$C15,IF(AND(MONTH($C$5)=$J$4,DAY($C$5)=$J$5),K16-1,""),K16-1)</f>
        <v>43100</v>
      </c>
    </row>
    <row r="16" spans="1:13">
      <c r="A16" s="115"/>
      <c r="B16" s="21" t="s">
        <v>26</v>
      </c>
      <c r="C16" s="22">
        <f>IF($C$8&lt;0.5,DATE(YEAR($C$5),MONTH($C$5)+6,DAY($C$5))-1,DATE(IF(DATE(YEAR($C$7),MONTH($C$5),DAY($C$5))&gt;$C$7,YEAR($C$7),YEAR($C$7)+1),MONTH($C$5),DAY($C$5))-1)</f>
        <v>43242</v>
      </c>
      <c r="D16" s="121"/>
      <c r="E16" s="10" t="s">
        <v>25</v>
      </c>
      <c r="F16" s="26" t="str">
        <f>IF(K16="","",IF(LEFT($H$8,1)="1",C16-IF(K16&lt;C15,C15,K16)+1&amp;"/"&amp;C16-C15+1&amp;"＝",DATEDIF(IF(K16&lt;C15,C15,K16),C16,"M")+1&amp;"/"&amp;DATEDIF(C15,C16,"M")+1&amp;"＝"))</f>
        <v>142/365＝</v>
      </c>
      <c r="G16" s="27">
        <f>IF(K16="","",D15*IF(LEFT($H$8,1)="1",(C16-IF(K16&lt;C15,C15,K16)+1)/(C16-C15+1),(DATEDIF(IF(K16&lt;C15,C15,K16),C16,"M")+1)/(DATEDIF(C15,C16,"M")+1)))</f>
        <v>5.8356164383561646</v>
      </c>
      <c r="H16" s="28">
        <f>IF(K16="","",IF(VALUE(LEFT($H$7,1))=4,ROUND($G16*8,0),ROUND($G16,VALUE(LEFT($H$7,1)))))</f>
        <v>5.84</v>
      </c>
      <c r="I16" s="118" t="str">
        <f>SUM(H16:H18)&amp;IF(VALUE(LEFT($H$7,1))=4,"小時","天("&amp;ROUND(SUM(H16:H18)*8,0)&amp;"小時)")</f>
        <v>15天(120小時)</v>
      </c>
      <c r="J16" s="51" t="s">
        <v>24</v>
      </c>
      <c r="K16" s="52">
        <f>IF($C12="",$C15,IF(DATE(YEAR($C16),$J$4,$J$5)&gt;$C16,DATE(YEAR($C16)-1,$J$4,$J$5),IF(DATE(YEAR($C15),$J$4,$J$5)&lt;IF($A15=0.5,SA12,$C15),DATE(YEAR($C15)+1,$J$4,$J$5),DATE(YEAR($C16),$J$4,$J$5))))</f>
        <v>43101</v>
      </c>
    </row>
    <row r="17" spans="1:11">
      <c r="A17" s="103" t="str">
        <f>IF(D17="","",C16)</f>
        <v/>
      </c>
      <c r="B17" s="104"/>
      <c r="C17" s="104"/>
      <c r="D17" s="24" t="str">
        <f>IF(YEAR($C15)&gt;=2017,"",IF(YEAR($C16)=2017,VLOOKUP($A15,新舊週年制比較!$A$1:$D$33,4),""))</f>
        <v/>
      </c>
      <c r="E17" s="6" t="str">
        <f t="shared" ref="E17" si="2">IF($D17="","","→")</f>
        <v/>
      </c>
      <c r="F17" s="29" t="str">
        <f>IF($D17="","","→")</f>
        <v/>
      </c>
      <c r="G17" s="26" t="str">
        <f>IF($D17="","",IF(VALUE(LEFT($H$7,1))=4,D17,"→"))</f>
        <v/>
      </c>
      <c r="H17" s="28" t="str">
        <f>IF($D17="","",IF(VALUE(LEFT($H$7,1))=4,D17*8,D17))</f>
        <v/>
      </c>
      <c r="I17" s="119"/>
      <c r="J17" s="53"/>
      <c r="K17" s="54"/>
    </row>
    <row r="18" spans="1:11">
      <c r="A18" s="115">
        <f>IF(DATEDIF($C$5,$C18,"M")/12&lt;0.5,0,IF(DATEDIF($C$5,$C18,"Y")&lt;1,0.5,DATEDIF($C$5,$C18,"Y")))</f>
        <v>6</v>
      </c>
      <c r="B18" s="17" t="s">
        <v>24</v>
      </c>
      <c r="C18" s="18">
        <f>IF($C$8&lt;0.5,DATE(YEAR($C$15),MONTH($C$15)+6,DAY($C$15)),DATE(YEAR($C$19+1)-1,MONTH($C$19+1),DAY($C$19+1)))</f>
        <v>43243</v>
      </c>
      <c r="D18" s="113">
        <f>IF(AND($C$5&lt;42370,$C18&lt;DATE(2017,MONTH($C$5),DAY($C$5))),VLOOKUP($A18,新舊週年制比較!$A$1:$D$33,2),IF($C18&lt;42736,0,IF(OR($D20=0,$D20=""),VLOOKUP($A18,新舊週年制比較!$A$1:$D$33,3),0)))</f>
        <v>15</v>
      </c>
      <c r="E18" s="10" t="s">
        <v>25</v>
      </c>
      <c r="F18" s="26" t="str">
        <f>IF(K18="","",IF(LEFT($H$8,1)="1",IF(K19&lt;C18,C18,K19)-C18&amp;"/"&amp;C19-C18+1&amp;"＝",DATEDIF(C18,IF(K19&lt;C18,C18,K19),"M")&amp;"/"&amp;DATEDIF(C18,C19,"M")+1&amp;"＝"))</f>
        <v>223/365＝</v>
      </c>
      <c r="G18" s="27">
        <f>IF(K18="","",D18*IF(LEFT($H$8,1)="1",(IF(K19&lt;C18,C18,K19)-C18)/(C19-C18+1),DATEDIF(C18,IF(K19&lt;C18,C18,K19),"M")/(DATEDIF(C18,C19,"M")+1)))</f>
        <v>9.1643835616438363</v>
      </c>
      <c r="H18" s="28">
        <f t="shared" ref="H18" si="3">IF(K18="","",IF(VALUE(LEFT($H$7,1))=4,ROUND($G18*8,0),ROUND($G18,VALUE(LEFT($H$7,1)))))</f>
        <v>9.16</v>
      </c>
      <c r="I18" s="119"/>
      <c r="J18" s="55" t="s">
        <v>26</v>
      </c>
      <c r="K18" s="56">
        <f>IF($K19=$C18,IF(AND(MONTH($C$5)=$J$4,DAY($C$5)=$J$5),K19-1,""),K19-1)</f>
        <v>43465</v>
      </c>
    </row>
    <row r="19" spans="1:11">
      <c r="A19" s="115"/>
      <c r="B19" s="21" t="s">
        <v>26</v>
      </c>
      <c r="C19" s="22">
        <f>IF($C$8&lt;0.5,DATE(YEAR($C$15+1)+1,MONTH($C15),DAY($C$15))-1,DATE(YEAR($C$16)+1,MONTH($C$16),DAY($C$16)))</f>
        <v>43607</v>
      </c>
      <c r="D19" s="114"/>
      <c r="E19" s="10" t="s">
        <v>25</v>
      </c>
      <c r="F19" s="19" t="str">
        <f>IF(K19="","",IF(LEFT($H$8,1)="1",C19-IF(K19&lt;C18,C18,K19)+1&amp;"/"&amp;C19-C18+1&amp;"＝",DATEDIF(IF(K19&lt;C18,C18,K19),C19,"M")+1&amp;"/"&amp;DATEDIF(C18,C19,"M")+1&amp;"＝"))</f>
        <v>142/365＝</v>
      </c>
      <c r="G19" s="20">
        <f>IF(K19="","",D18*IF(LEFT($H$8,1)="1",(C19-IF(K19&lt;C18,C18,K19)+1)/(C19-C18+1),(DATEDIF(IF(K19&lt;C18,C18,K19),C19,"M")+1)/(DATEDIF(C18,C19,"M")+1)))</f>
        <v>5.8356164383561646</v>
      </c>
      <c r="H19" s="23">
        <f>IF(K19="","",IF(VALUE(LEFT($H$7,1))=4,ROUND($G19*8,0),ROUND($G19,VALUE(LEFT($H$7,1)))))</f>
        <v>5.84</v>
      </c>
      <c r="I19" s="111" t="str">
        <f>SUM(H19:H21)&amp;IF(VALUE(LEFT($H$7,1))=4,"小時","天("&amp;ROUND(SUM(H19:H21)*8,0)&amp;"小時)")</f>
        <v>14.98天(120小時)</v>
      </c>
      <c r="J19" s="47" t="s">
        <v>24</v>
      </c>
      <c r="K19" s="18">
        <f>IF($C15="",$C18,IF(DATE(YEAR($C19),$J$4,$J$5)&gt;$C19,DATE(YEAR($C19)-1,$J$4,$J$5),IF(DATE(YEAR($C18),$J$4,$J$5)&lt;IF($A18=0.5,SA15,$C18),DATE(YEAR($C18)+1,$J$4,$J$5),DATE(YEAR($C19),$J$4,$J$5))))</f>
        <v>43466</v>
      </c>
    </row>
    <row r="20" spans="1:11">
      <c r="A20" s="103" t="str">
        <f>IF(D20="","",C19)</f>
        <v/>
      </c>
      <c r="B20" s="104"/>
      <c r="C20" s="104"/>
      <c r="D20" s="24" t="str">
        <f>IF(YEAR($C18)&gt;=2017,"",IF(YEAR($C19)=2017,VLOOKUP($A18,新舊週年制比較!$A$1:$D$33,4),""))</f>
        <v/>
      </c>
      <c r="E20" s="6" t="str">
        <f t="shared" ref="E20" si="4">IF($D20="","","→")</f>
        <v/>
      </c>
      <c r="F20" s="6" t="str">
        <f>IF($D20="","","→")</f>
        <v/>
      </c>
      <c r="G20" s="6" t="str">
        <f>IF($D20="","",IF(VALUE(LEFT($H$7,1))=4,D20,"→"))</f>
        <v/>
      </c>
      <c r="H20" s="25" t="str">
        <f>IF($D20="","",IF(VALUE(LEFT($H$7,1))=4,D20*8,D20))</f>
        <v/>
      </c>
      <c r="I20" s="112"/>
      <c r="J20" s="48"/>
      <c r="K20" s="49"/>
    </row>
    <row r="21" spans="1:11">
      <c r="A21" s="115">
        <f>IF(DATEDIF($C$5,$C21,"M")/12&lt;0.5,0,IF(DATEDIF($C$5,$C21,"Y")&lt;1,0.5,DATEDIF($C$5,$C21,"Y")))</f>
        <v>7</v>
      </c>
      <c r="B21" s="17" t="s">
        <v>24</v>
      </c>
      <c r="C21" s="18">
        <f>DATE(YEAR($C$22+1)-1,MONTH($C$22+1),DAY($C$22+1))</f>
        <v>43608</v>
      </c>
      <c r="D21" s="113">
        <f>IF(AND($C$5&lt;42370,$C21&lt;DATE(2017,MONTH($C$5),DAY($C$5))),VLOOKUP($A21,新舊週年制比較!$A$1:$D$33,2),IF($C21&lt;42736,0,IF(OR($D23=0,$D23=""),VLOOKUP($A21,新舊週年制比較!$A$1:$D$33,3),0)))</f>
        <v>15</v>
      </c>
      <c r="E21" s="10" t="s">
        <v>25</v>
      </c>
      <c r="F21" s="19" t="str">
        <f>IF(K21="","",IF(LEFT($H$8,1)="1",IF(K22&lt;C21,C21,K22)-C21&amp;"/"&amp;C22-C21+1&amp;"＝",DATEDIF(C21,IF(K22&lt;C21,C21,K22),"M")&amp;"/"&amp;DATEDIF(C21,C22,"M")+1&amp;"＝"))</f>
        <v>223/366＝</v>
      </c>
      <c r="G21" s="20">
        <f>IF(K21="","",D21*IF(LEFT($H$8,1)="1",(IF(K22&lt;C21,C21,K22)-C21)/(C22-C21+1),DATEDIF(C21,IF(K22&lt;C21,C21,K22),"M")/(DATEDIF(C21,C22,"M")+1)))</f>
        <v>9.1393442622950829</v>
      </c>
      <c r="H21" s="23">
        <f t="shared" ref="H21" si="5">IF(K21="","",IF(VALUE(LEFT($H$7,1))=4,ROUND($G21*8,0),ROUND($G21,VALUE(LEFT($H$7,1)))))</f>
        <v>9.14</v>
      </c>
      <c r="I21" s="112"/>
      <c r="J21" s="50" t="s">
        <v>26</v>
      </c>
      <c r="K21" s="22">
        <f>IF($K22=$C21,IF(AND(MONTH($C$5)=$J$4,DAY($C$5)=$J$5),K22-1,""),K22-1)</f>
        <v>43830</v>
      </c>
    </row>
    <row r="22" spans="1:11">
      <c r="A22" s="115"/>
      <c r="B22" s="21" t="s">
        <v>26</v>
      </c>
      <c r="C22" s="22">
        <f>DATE(YEAR($C19)+1,MONTH($C19),DAY($C19))</f>
        <v>43973</v>
      </c>
      <c r="D22" s="114"/>
      <c r="E22" s="10" t="s">
        <v>25</v>
      </c>
      <c r="F22" s="19" t="str">
        <f>IF(K22="","",IF(LEFT($H$8,1)="1",C22-IF(K22&lt;C21,C21,K22)+1&amp;"/"&amp;C22-C21+1&amp;"＝",DATEDIF(IF(K22&lt;C21,C21,K22),C22,"M")+1&amp;"/"&amp;DATEDIF(C21,C22,"M")+1&amp;"＝"))</f>
        <v>143/366＝</v>
      </c>
      <c r="G22" s="20">
        <f>IF(K22="","",D21*IF(LEFT($H$8,1)="1",(C22-IF(K22&lt;C21,C21,K22)+1)/(C22-C21+1),(DATEDIF(IF(K22&lt;C21,C21,K22),C22,"M")+1)/(DATEDIF(C21,C22,"M")+1)))</f>
        <v>5.860655737704918</v>
      </c>
      <c r="H22" s="23">
        <f>IF(K22="","",IF(VALUE(LEFT($H$7,1))=4,ROUND($G22*8,0),ROUND($G22,VALUE(LEFT($H$7,1)))))</f>
        <v>5.86</v>
      </c>
      <c r="I22" s="111" t="str">
        <f>SUM(H22:H24)&amp;IF(VALUE(LEFT($H$7,1))=4,"小時","天("&amp;ROUND(SUM(H22:H24)*8,0)&amp;"小時)")</f>
        <v>15.02天(120小時)</v>
      </c>
      <c r="J22" s="47" t="s">
        <v>24</v>
      </c>
      <c r="K22" s="18">
        <f>IF($C18="",$C21,IF(DATE(YEAR($C22),$J$4,$J$5)&gt;$C22,DATE(YEAR($C22)-1,$J$4,$J$5),IF(DATE(YEAR($C21),$J$4,$J$5)&lt;IF($A21=0.5,SA18,$C21),DATE(YEAR($C21)+1,$J$4,$J$5),DATE(YEAR($C22),$J$4,$J$5))))</f>
        <v>43831</v>
      </c>
    </row>
    <row r="23" spans="1:11">
      <c r="A23" s="103" t="str">
        <f>IF(D23="","",C22)</f>
        <v/>
      </c>
      <c r="B23" s="104"/>
      <c r="C23" s="104"/>
      <c r="D23" s="24" t="str">
        <f>IF(YEAR($C21)&gt;=2017,"",IF(YEAR($C22)=2017,VLOOKUP($A21,新舊週年制比較!$A$1:$D$33,4),""))</f>
        <v/>
      </c>
      <c r="E23" s="6" t="str">
        <f t="shared" ref="E23" si="6">IF($D23="","","→")</f>
        <v/>
      </c>
      <c r="F23" s="6" t="str">
        <f>IF($D23="","","→")</f>
        <v/>
      </c>
      <c r="G23" s="6" t="str">
        <f>IF($D23="","",IF(VALUE(LEFT($H$7,1))=4,D23,"→"))</f>
        <v/>
      </c>
      <c r="H23" s="25" t="str">
        <f>IF($D23="","",IF(VALUE(LEFT($H$7,1))=4,D23*8,D23))</f>
        <v/>
      </c>
      <c r="I23" s="112"/>
      <c r="J23" s="48"/>
      <c r="K23" s="49"/>
    </row>
    <row r="24" spans="1:11">
      <c r="A24" s="115">
        <f>IF(DATEDIF($C$5,$C24,"M")/12&lt;0.5,0,IF(DATEDIF($C$5,$C24,"Y")&lt;1,0.5,DATEDIF($C$5,$C24,"Y")))</f>
        <v>8</v>
      </c>
      <c r="B24" s="17" t="s">
        <v>24</v>
      </c>
      <c r="C24" s="18">
        <f>DATE(YEAR($C$25+1)-1,MONTH($C$25+1),DAY($C$25+1))</f>
        <v>43974</v>
      </c>
      <c r="D24" s="113">
        <f>IF(AND($C$5&lt;42370,$C24&lt;DATE(2017,MONTH($C$5),DAY($C$5))),VLOOKUP($A24,新舊週年制比較!$A$1:$D$33,2),IF($C24&lt;42736,0,IF(OR($D26=0,$D26=""),VLOOKUP($A24,新舊週年制比較!$A$1:$D$33,3),0)))</f>
        <v>15</v>
      </c>
      <c r="E24" s="10" t="s">
        <v>25</v>
      </c>
      <c r="F24" s="19" t="str">
        <f>IF(K24="","",IF(LEFT($H$8,1)="1",IF(K25&lt;C24,C24,K25)-C24&amp;"/"&amp;C25-C24+1&amp;"＝",DATEDIF(C24,IF(K25&lt;C24,C24,K25),"M")&amp;"/"&amp;DATEDIF(C24,C25,"M")+1&amp;"＝"))</f>
        <v>223/365＝</v>
      </c>
      <c r="G24" s="20">
        <f>IF(K24="","",D24*IF(LEFT($H$8,1)="1",(IF(K25&lt;C24,C24,K25)-C24)/(C25-C24+1),DATEDIF(C24,IF(K25&lt;C24,C24,K25),"M")/(DATEDIF(C24,C25,"M")+1)))</f>
        <v>9.1643835616438363</v>
      </c>
      <c r="H24" s="23">
        <f>IF(K24="","",IF(VALUE(LEFT($H$7,1))=4,ROUND($G24*8,0),ROUND($G24,VALUE(LEFT($H$7,1)))))</f>
        <v>9.16</v>
      </c>
      <c r="I24" s="112"/>
      <c r="J24" s="50" t="s">
        <v>26</v>
      </c>
      <c r="K24" s="22">
        <f>IF($K25=$C24,IF(AND(MONTH($C$5)=$J$4,DAY($C$5)=$J$5),K25-1,""),K25-1)</f>
        <v>44196</v>
      </c>
    </row>
    <row r="25" spans="1:11">
      <c r="A25" s="115"/>
      <c r="B25" s="21" t="s">
        <v>26</v>
      </c>
      <c r="C25" s="22">
        <f>DATE(YEAR($C22)+1,MONTH($C22),DAY($C22))</f>
        <v>44338</v>
      </c>
      <c r="D25" s="114"/>
      <c r="E25" s="10" t="s">
        <v>25</v>
      </c>
      <c r="F25" s="19" t="str">
        <f>IF(K25="","",IF(LEFT($H$8,1)="1",C25-IF(K25&lt;C24,C24,K25)+1&amp;"/"&amp;C25-C24+1&amp;"＝",DATEDIF(IF(K25&lt;C24,C24,K25),C25,"M")+1&amp;"/"&amp;DATEDIF(C24,C25,"M")+1&amp;"＝"))</f>
        <v>142/365＝</v>
      </c>
      <c r="G25" s="20">
        <f>IF(K25="","",D24*IF(LEFT($H$8,1)="1",(C25-IF(K25&lt;C24,C24,K25)+1)/(C25-C24+1),(DATEDIF(IF(K25&lt;C24,C24,K25),C25,"M")+1)/(DATEDIF(C24,C25,"M")+1)))</f>
        <v>5.8356164383561646</v>
      </c>
      <c r="H25" s="20">
        <f>IF(K25="","",IF(VALUE(LEFT($H$7,1))=4,ROUND($G25*8,0),ROUND($G25,VALUE(LEFT($H$7,1)))))</f>
        <v>5.84</v>
      </c>
      <c r="I25" s="57"/>
      <c r="J25" s="57" t="s">
        <v>24</v>
      </c>
      <c r="K25" s="58">
        <f>IF($C21="",$C24,IF(DATE(YEAR($C25),$J$4,$J$5)&gt;$C25,DATE(YEAR($C25)-1,$J$4,$J$5),IF(DATE(YEAR($C24),$J$4,$J$5)&lt;IF($A24=0.5,SA21,$C24),DATE(YEAR($C24)+1,$J$4,$J$5),DATE(YEAR($C25),$J$4,$J$5))))</f>
        <v>44197</v>
      </c>
    </row>
    <row r="26" spans="1:11">
      <c r="A26" s="105" t="str">
        <f>IF(D26="","",C25)</f>
        <v/>
      </c>
      <c r="B26" s="105"/>
      <c r="C26" s="105"/>
      <c r="D26" s="30" t="str">
        <f>IF(YEAR($C24)&gt;=2017,"",IF(YEAR($C25)=2017,VLOOKUP($A24,新舊週年制比較!$A$1:$D$33,4),""))</f>
        <v/>
      </c>
      <c r="E26" s="6"/>
      <c r="F26" s="31"/>
      <c r="G26" s="31" t="str">
        <f>IF($D26="","",IF(VALUE(LEFT($H$7,1))=4,D26,"→"))</f>
        <v/>
      </c>
      <c r="H26" s="32" t="str">
        <f>IF($D26="","",IF(VALUE(LEFT($H$7,1))=4,D26*8,D26))</f>
        <v/>
      </c>
    </row>
    <row r="27" spans="1:11">
      <c r="A27" s="3" t="s">
        <v>27</v>
      </c>
      <c r="B27" s="6"/>
      <c r="C27" s="6"/>
      <c r="D27" s="7"/>
      <c r="E27" s="7"/>
    </row>
    <row r="28" spans="1:11">
      <c r="A28" s="91" t="s">
        <v>28</v>
      </c>
      <c r="B28" s="91"/>
      <c r="C28" s="91"/>
      <c r="D28" s="91"/>
      <c r="E28" s="91"/>
    </row>
    <row r="29" spans="1:11">
      <c r="A29" s="91"/>
      <c r="B29" s="91"/>
      <c r="C29" s="91"/>
      <c r="D29" s="91"/>
      <c r="E29" s="91"/>
    </row>
    <row r="30" spans="1:11">
      <c r="B30" s="6"/>
      <c r="C30" s="6"/>
      <c r="D30" s="7"/>
      <c r="E30" s="7"/>
    </row>
    <row r="31" spans="1:11">
      <c r="B31" s="6"/>
      <c r="C31" s="6"/>
      <c r="D31" s="7"/>
      <c r="E31" s="7"/>
    </row>
    <row r="32" spans="1:11">
      <c r="B32" s="6"/>
      <c r="C32" s="6"/>
      <c r="D32" s="7"/>
      <c r="E32" s="7"/>
    </row>
    <row r="33" spans="1:13" ht="17.25" hidden="1" customHeight="1">
      <c r="A33" s="33"/>
      <c r="B33" s="106" t="e">
        <f>DATE(YEAR(#REF!)-1,MONTH($C$5),DAY($C$5))</f>
        <v>#REF!</v>
      </c>
      <c r="C33" s="107"/>
      <c r="D33" s="108" t="e">
        <f>#REF!</f>
        <v>#REF!</v>
      </c>
      <c r="E33" s="109"/>
      <c r="F33" s="35" t="e">
        <f>#REF!</f>
        <v>#REF!</v>
      </c>
      <c r="G33" s="108" t="e">
        <f>#REF!</f>
        <v>#REF!</v>
      </c>
      <c r="H33" s="110"/>
      <c r="I33" s="110"/>
      <c r="J33" s="109"/>
      <c r="K33" s="34" t="e">
        <f>#REF!</f>
        <v>#REF!</v>
      </c>
      <c r="M33" s="59"/>
    </row>
    <row r="34" spans="1:13" ht="17.25" hidden="1" customHeight="1">
      <c r="D34" s="85" t="e">
        <f>IF($C$5&gt;#REF!,"今年尚未有年假",#REF!)</f>
        <v>#REF!</v>
      </c>
      <c r="E34" s="86"/>
      <c r="F34" s="87"/>
      <c r="G34" s="36"/>
      <c r="H34" s="37"/>
      <c r="I34" s="37"/>
      <c r="J34" s="37"/>
      <c r="K34" s="37"/>
      <c r="L34" s="59"/>
      <c r="M34" s="59"/>
    </row>
    <row r="35" spans="1:13" ht="17.25" hidden="1" customHeight="1">
      <c r="D35" s="88"/>
      <c r="E35" s="89"/>
      <c r="F35" s="90"/>
      <c r="G35" s="38"/>
      <c r="H35" s="39"/>
      <c r="I35" s="39"/>
      <c r="J35" s="39"/>
      <c r="K35" s="39"/>
      <c r="L35" s="59"/>
      <c r="M35" s="59"/>
    </row>
    <row r="36" spans="1:13" ht="36.75" hidden="1" customHeight="1">
      <c r="D36" s="98" t="e">
        <f>IF($C$5&gt;#REF!,"A.尚未到職","A.滿"&amp;DATEDIF($C$5,#REF!+1,"Y")-1&amp;"年年假天數*"&amp;MONTH($C$5)&amp;"/12")</f>
        <v>#REF!</v>
      </c>
      <c r="E36" s="99"/>
      <c r="F36" s="40" t="e">
        <f>IF($C$5&gt;#REF!,"B.尚未有年假","B.滿"&amp;DATEDIF($C$5,#REF!+1,"Y")&amp;"年年假天數*"&amp;12-MONTH($C$5)&amp;"/12")</f>
        <v>#REF!</v>
      </c>
      <c r="G36" s="98" t="e">
        <f>IF($C$5&gt;#REF!,"C.尚未有年假","C.滿"&amp;DATEDIF($C$5,#REF!+1,"Y")&amp;"年年假天數*"&amp;MONTH($C$5)&amp;"/12")</f>
        <v>#REF!</v>
      </c>
      <c r="H36" s="100"/>
      <c r="I36" s="100"/>
      <c r="J36" s="100"/>
      <c r="K36" s="60"/>
      <c r="L36" s="61"/>
      <c r="M36" s="59"/>
    </row>
    <row r="37" spans="1:13" ht="9.75" hidden="1" customHeight="1">
      <c r="B37" s="101" t="s">
        <v>29</v>
      </c>
      <c r="C37" s="101"/>
      <c r="D37" s="102" t="s">
        <v>30</v>
      </c>
      <c r="E37" s="102"/>
      <c r="F37" s="41" t="s">
        <v>29</v>
      </c>
      <c r="G37" s="102" t="s">
        <v>30</v>
      </c>
      <c r="H37" s="102"/>
      <c r="I37" s="102"/>
      <c r="J37" s="102"/>
      <c r="K37" s="61"/>
      <c r="L37" s="61"/>
      <c r="M37" s="59"/>
    </row>
    <row r="38" spans="1:13" ht="17.25" hidden="1" customHeight="1">
      <c r="B38" s="92" t="e">
        <f>IF($C$5&gt;#REF!,"尚未到職","←舊週年制,滿"&amp;DATEDIF($C$5,#REF!+1,"Y")-1&amp;"年＝"&amp;VLOOKUP(C7-12,新舊週年制比較!C1:D33,2)&amp;"天→")</f>
        <v>#REF!</v>
      </c>
      <c r="C38" s="93"/>
      <c r="D38" s="93"/>
      <c r="E38" s="93"/>
      <c r="F38" s="94" t="e">
        <f>IF($C$5&gt;#REF!,"舊週年制尚未有年假","←舊週年制,滿"&amp;DATEDIF($C$5,#REF!+1,"Y")&amp;"年＝"&amp;#REF!&amp;"天→")</f>
        <v>#REF!</v>
      </c>
      <c r="G38" s="95"/>
      <c r="H38" s="95"/>
      <c r="I38" s="95"/>
      <c r="J38" s="95"/>
      <c r="K38" s="84" t="e">
        <f>IF($C$5&gt;#REF!,"","》差異"&amp;#REF!&amp;"天")</f>
        <v>#REF!</v>
      </c>
      <c r="L38" s="61"/>
      <c r="M38" s="59"/>
    </row>
    <row r="39" spans="1:13" ht="17.25" hidden="1" customHeight="1">
      <c r="F39" s="96" t="s">
        <v>31</v>
      </c>
      <c r="G39" s="97"/>
      <c r="H39" s="97"/>
      <c r="I39" s="97"/>
      <c r="J39" s="97"/>
      <c r="K39" s="84"/>
      <c r="L39" s="61"/>
      <c r="M39" s="59"/>
    </row>
    <row r="40" spans="1:13" ht="17.25" hidden="1" customHeight="1">
      <c r="F40" s="94" t="e">
        <f>IF($C$5&gt;#REF!,"新週年制尚未有年假",IF($C$5&gt;#REF!,"←新週年制"&amp;YEAR($C$5)&amp;"/"&amp;MONTH($C$5)+6&amp;"/"&amp;DAY($C$5)&amp;"起有3天特休→","←新週年制,滿"&amp;DATEDIF($C$5,#REF!+1,"Y")&amp;"年＝"&amp;#REF!&amp;"天→"))</f>
        <v>#REF!</v>
      </c>
      <c r="G40" s="95"/>
      <c r="H40" s="95"/>
      <c r="I40" s="95"/>
      <c r="J40" s="95"/>
      <c r="K40" s="84"/>
      <c r="L40" s="61"/>
      <c r="M40" s="59"/>
    </row>
  </sheetData>
  <sheetProtection password="CC47" sheet="1" objects="1" scenarios="1"/>
  <mergeCells count="50">
    <mergeCell ref="A1:K1"/>
    <mergeCell ref="A3:B3"/>
    <mergeCell ref="H3:I3"/>
    <mergeCell ref="A4:B4"/>
    <mergeCell ref="A5:B5"/>
    <mergeCell ref="D5:F5"/>
    <mergeCell ref="G4:G5"/>
    <mergeCell ref="A7:B7"/>
    <mergeCell ref="H7:J7"/>
    <mergeCell ref="A8:B8"/>
    <mergeCell ref="H8:I8"/>
    <mergeCell ref="A10:D10"/>
    <mergeCell ref="F10:H10"/>
    <mergeCell ref="I10:K10"/>
    <mergeCell ref="B11:C11"/>
    <mergeCell ref="J11:K11"/>
    <mergeCell ref="A14:C14"/>
    <mergeCell ref="A17:C17"/>
    <mergeCell ref="A20:C20"/>
    <mergeCell ref="I19:I21"/>
    <mergeCell ref="I13:I15"/>
    <mergeCell ref="I16:I18"/>
    <mergeCell ref="D12:D13"/>
    <mergeCell ref="D15:D16"/>
    <mergeCell ref="D18:D19"/>
    <mergeCell ref="A12:A13"/>
    <mergeCell ref="A15:A16"/>
    <mergeCell ref="A18:A19"/>
    <mergeCell ref="A23:C23"/>
    <mergeCell ref="A26:C26"/>
    <mergeCell ref="B33:C33"/>
    <mergeCell ref="D33:E33"/>
    <mergeCell ref="G33:J33"/>
    <mergeCell ref="I22:I24"/>
    <mergeCell ref="D21:D22"/>
    <mergeCell ref="D24:D25"/>
    <mergeCell ref="A21:A22"/>
    <mergeCell ref="A24:A25"/>
    <mergeCell ref="K38:K40"/>
    <mergeCell ref="D34:F35"/>
    <mergeCell ref="A28:E29"/>
    <mergeCell ref="B38:E38"/>
    <mergeCell ref="F38:J38"/>
    <mergeCell ref="F39:J39"/>
    <mergeCell ref="F40:J40"/>
    <mergeCell ref="D36:E36"/>
    <mergeCell ref="G36:J36"/>
    <mergeCell ref="B37:C37"/>
    <mergeCell ref="D37:E37"/>
    <mergeCell ref="G37:J37"/>
  </mergeCells>
  <phoneticPr fontId="30" type="noConversion"/>
  <conditionalFormatting sqref="E10:K10 E11:J11 E12:K25">
    <cfRule type="expression" dxfId="3" priority="1" stopIfTrue="1">
      <formula>$H$3="週年制"</formula>
    </cfRule>
  </conditionalFormatting>
  <conditionalFormatting sqref="A15:D16">
    <cfRule type="expression" dxfId="2" priority="2" stopIfTrue="1">
      <formula>$H$3="週年制"</formula>
    </cfRule>
  </conditionalFormatting>
  <conditionalFormatting sqref="G4:J5">
    <cfRule type="expression" dxfId="1" priority="3" stopIfTrue="1">
      <formula>OR($H$3="週年制",$H$3="曆年制")</formula>
    </cfRule>
  </conditionalFormatting>
  <conditionalFormatting sqref="G8:I8">
    <cfRule type="expression" dxfId="0" priority="4" stopIfTrue="1">
      <formula>$H$3="週年制"</formula>
    </cfRule>
  </conditionalFormatting>
  <dataValidations count="4">
    <dataValidation type="date" operator="greaterThanOrEqual" allowBlank="1" showInputMessage="1" showErrorMessage="1" sqref="C7">
      <formula1>C3</formula1>
    </dataValidation>
    <dataValidation type="list" allowBlank="1" showInputMessage="1" showErrorMessage="1" sqref="H7">
      <formula1>進位方式</formula1>
    </dataValidation>
    <dataValidation type="list" allowBlank="1" showInputMessage="1" showErrorMessage="1" sqref="H3">
      <formula1>特休制度</formula1>
    </dataValidation>
    <dataValidation type="list" allowBlank="1" showInputMessage="1" showErrorMessage="1" sqref="H8:I8">
      <formula1>比例方式</formula1>
    </dataValidation>
  </dataValidations>
  <printOptions horizontalCentered="1"/>
  <pageMargins left="0.39305555555555599" right="0.39305555555555599" top="0.39305555555555599" bottom="0.39305555555555599" header="0.51180555555555596" footer="0.51180555555555596"/>
  <pageSetup paperSize="9" orientation="landscape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B2" sqref="B2"/>
    </sheetView>
  </sheetViews>
  <sheetFormatPr defaultRowHeight="16.2"/>
  <cols>
    <col min="1" max="1" width="2.44140625" bestFit="1" customWidth="1"/>
    <col min="2" max="3" width="22.44140625" customWidth="1"/>
    <col min="4" max="4" width="9.44140625" bestFit="1" customWidth="1"/>
    <col min="5" max="5" width="22" customWidth="1"/>
  </cols>
  <sheetData>
    <row r="1" spans="1:5" ht="16.8" thickBot="1">
      <c r="A1" s="67"/>
      <c r="B1" s="70" t="s">
        <v>43</v>
      </c>
      <c r="C1" s="70" t="s">
        <v>44</v>
      </c>
      <c r="D1" s="67" t="s">
        <v>42</v>
      </c>
    </row>
    <row r="2" spans="1:5" ht="16.8" thickTop="1">
      <c r="A2" s="68">
        <v>1</v>
      </c>
      <c r="B2" s="75"/>
      <c r="C2" s="77"/>
      <c r="D2" s="69" t="str">
        <f>IF(OR(B2="",C2=""),"",IF(C2&lt;B2,"日期錯誤",C2-B2))</f>
        <v/>
      </c>
      <c r="E2" t="str">
        <f>IF(B2="","",IF(B2=MAX(B$2:B2),"","請按留停先後順序填寫"))</f>
        <v/>
      </c>
    </row>
    <row r="3" spans="1:5">
      <c r="A3" s="68">
        <v>2</v>
      </c>
      <c r="B3" s="76"/>
      <c r="C3" s="78"/>
      <c r="D3" s="69" t="str">
        <f t="shared" ref="D3:D10" si="0">IF(OR(B3="",C3=""),"",IF(C3&lt;B3,"日期錯誤",C3-B3))</f>
        <v/>
      </c>
      <c r="E3" t="str">
        <f>IF(B3="","",IF(B3=MAX(B$2:B3),IF(B3&lt;C2,"留停期間填寫有誤",""),"請按留停時間順序填寫"))</f>
        <v/>
      </c>
    </row>
    <row r="4" spans="1:5">
      <c r="A4" s="68">
        <v>3</v>
      </c>
      <c r="B4" s="76"/>
      <c r="C4" s="78"/>
      <c r="D4" s="69" t="str">
        <f t="shared" si="0"/>
        <v/>
      </c>
      <c r="E4" t="str">
        <f>IF(B4="","",IF(B4=MAX(B$2:B4),IF(B4&lt;C3,"留停期間填寫有誤",""),"請按留停時間順序填寫"))</f>
        <v/>
      </c>
    </row>
    <row r="5" spans="1:5">
      <c r="A5" s="68">
        <v>4</v>
      </c>
      <c r="B5" s="76"/>
      <c r="C5" s="78"/>
      <c r="D5" s="69" t="str">
        <f t="shared" si="0"/>
        <v/>
      </c>
      <c r="E5" t="str">
        <f>IF(B5="","",IF(B5=MAX(B$2:B5),IF(B5&lt;C4,"留停期間填寫有誤",""),"請按留停時間順序填寫"))</f>
        <v/>
      </c>
    </row>
    <row r="6" spans="1:5">
      <c r="A6" s="68">
        <v>5</v>
      </c>
      <c r="B6" s="76"/>
      <c r="C6" s="78"/>
      <c r="D6" s="69" t="str">
        <f t="shared" si="0"/>
        <v/>
      </c>
      <c r="E6" t="str">
        <f>IF(B6="","",IF(B6=MAX(B$2:B6),IF(B6&lt;C5,"留停期間填寫有誤",""),"請按留停時間順序填寫"))</f>
        <v/>
      </c>
    </row>
    <row r="7" spans="1:5">
      <c r="A7" s="68">
        <v>6</v>
      </c>
      <c r="B7" s="76"/>
      <c r="C7" s="78"/>
      <c r="D7" s="69" t="str">
        <f t="shared" si="0"/>
        <v/>
      </c>
      <c r="E7" t="str">
        <f>IF(B7="","",IF(B7=MAX(B$2:B7),IF(B7&lt;C6,"留停期間填寫有誤",""),"請按留停時間順序填寫"))</f>
        <v/>
      </c>
    </row>
    <row r="8" spans="1:5">
      <c r="A8" s="68">
        <v>7</v>
      </c>
      <c r="B8" s="76"/>
      <c r="C8" s="78"/>
      <c r="D8" s="69" t="str">
        <f t="shared" si="0"/>
        <v/>
      </c>
      <c r="E8" t="str">
        <f>IF(B8="","",IF(B8=MAX(B$2:B8),IF(B8&lt;C7,"留停期間填寫有誤",""),"請按留停時間順序填寫"))</f>
        <v/>
      </c>
    </row>
    <row r="9" spans="1:5">
      <c r="A9" s="68">
        <v>8</v>
      </c>
      <c r="B9" s="71"/>
      <c r="C9" s="72"/>
      <c r="D9" s="69" t="str">
        <f t="shared" si="0"/>
        <v/>
      </c>
      <c r="E9" t="str">
        <f>IF(B9="","",IF(B9=MAX(B$2:B9),IF(B9&lt;C8,"留停期間填寫有誤",""),"請按留停時間順序填寫"))</f>
        <v/>
      </c>
    </row>
    <row r="10" spans="1:5" ht="16.8" thickBot="1">
      <c r="A10" s="68">
        <v>9</v>
      </c>
      <c r="B10" s="73"/>
      <c r="C10" s="74"/>
      <c r="D10" s="69" t="str">
        <f t="shared" si="0"/>
        <v/>
      </c>
      <c r="E10" t="str">
        <f>IF(B10="","",IF(B10=MAX(B$2:B10),IF(B10&lt;C9,"留停期間填寫有誤",""),"請按留停時間順序填寫"))</f>
        <v/>
      </c>
    </row>
    <row r="11" spans="1:5" ht="16.8" thickTop="1">
      <c r="B11" s="80" t="str">
        <f>IF(SUM(B2:B10)=0,"",MAX(B2:B10))</f>
        <v/>
      </c>
      <c r="C11" s="80" t="str">
        <f>IF(SUM(C2:C10)=0,"",MAX(C2:C10))</f>
        <v/>
      </c>
      <c r="D11" s="82"/>
    </row>
    <row r="12" spans="1:5">
      <c r="C12" s="79"/>
    </row>
  </sheetData>
  <sheetProtection password="CC47" sheet="1" objects="1" scenarios="1"/>
  <phoneticPr fontId="3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FC110"/>
  <sheetViews>
    <sheetView workbookViewId="0">
      <pane xSplit="1" ySplit="1" topLeftCell="B2" activePane="bottomRight" state="frozen"/>
      <selection pane="topRight"/>
      <selection pane="bottomLeft"/>
      <selection pane="bottomRight" activeCell="B28" sqref="B28:C28"/>
    </sheetView>
  </sheetViews>
  <sheetFormatPr defaultColWidth="9" defaultRowHeight="16.2"/>
  <cols>
    <col min="1" max="1" width="8.77734375" style="1" customWidth="1"/>
    <col min="2" max="3" width="9.44140625" style="1" customWidth="1"/>
    <col min="4" max="5" width="14.6640625" style="1" customWidth="1"/>
    <col min="6" max="16383" width="9" style="1"/>
  </cols>
  <sheetData>
    <row r="1" spans="1:5" ht="21" customHeight="1">
      <c r="A1" s="2" t="s">
        <v>32</v>
      </c>
      <c r="B1" s="2" t="s">
        <v>33</v>
      </c>
      <c r="C1" s="2" t="s">
        <v>34</v>
      </c>
      <c r="D1" s="2" t="s">
        <v>35</v>
      </c>
      <c r="E1" s="2"/>
    </row>
    <row r="2" spans="1:5">
      <c r="A2" s="2">
        <v>0</v>
      </c>
      <c r="B2" s="2">
        <v>0</v>
      </c>
      <c r="C2" s="2">
        <v>0</v>
      </c>
      <c r="D2" s="2">
        <f t="shared" ref="D2" si="0">C2-B2</f>
        <v>0</v>
      </c>
      <c r="E2" s="2"/>
    </row>
    <row r="3" spans="1:5">
      <c r="A3" s="2">
        <v>0.5</v>
      </c>
      <c r="B3" s="2">
        <v>0</v>
      </c>
      <c r="C3" s="2">
        <v>3</v>
      </c>
      <c r="D3" s="2">
        <f t="shared" ref="D3:D33" si="1">C3-B3</f>
        <v>3</v>
      </c>
      <c r="E3" s="2"/>
    </row>
    <row r="4" spans="1:5">
      <c r="A4" s="2">
        <v>1</v>
      </c>
      <c r="B4" s="2">
        <v>7</v>
      </c>
      <c r="C4" s="2">
        <v>7</v>
      </c>
      <c r="D4" s="2">
        <f t="shared" si="1"/>
        <v>0</v>
      </c>
      <c r="E4" s="2"/>
    </row>
    <row r="5" spans="1:5">
      <c r="A5" s="2">
        <v>2</v>
      </c>
      <c r="B5" s="2">
        <v>7</v>
      </c>
      <c r="C5" s="2">
        <v>10</v>
      </c>
      <c r="D5" s="2">
        <f t="shared" si="1"/>
        <v>3</v>
      </c>
      <c r="E5" s="2"/>
    </row>
    <row r="6" spans="1:5">
      <c r="A6" s="2">
        <v>3</v>
      </c>
      <c r="B6" s="2">
        <v>10</v>
      </c>
      <c r="C6" s="2">
        <v>14</v>
      </c>
      <c r="D6" s="2">
        <f t="shared" si="1"/>
        <v>4</v>
      </c>
      <c r="E6" s="2"/>
    </row>
    <row r="7" spans="1:5">
      <c r="A7" s="2">
        <v>4</v>
      </c>
      <c r="B7" s="2">
        <v>10</v>
      </c>
      <c r="C7" s="2">
        <v>14</v>
      </c>
      <c r="D7" s="2">
        <f t="shared" si="1"/>
        <v>4</v>
      </c>
      <c r="E7" s="2"/>
    </row>
    <row r="8" spans="1:5">
      <c r="A8" s="2">
        <v>5</v>
      </c>
      <c r="B8" s="2">
        <v>14</v>
      </c>
      <c r="C8" s="2">
        <v>15</v>
      </c>
      <c r="D8" s="2">
        <f t="shared" si="1"/>
        <v>1</v>
      </c>
      <c r="E8" s="2"/>
    </row>
    <row r="9" spans="1:5">
      <c r="A9" s="2">
        <v>6</v>
      </c>
      <c r="B9" s="2">
        <v>14</v>
      </c>
      <c r="C9" s="2">
        <v>15</v>
      </c>
      <c r="D9" s="2">
        <f t="shared" si="1"/>
        <v>1</v>
      </c>
      <c r="E9" s="2"/>
    </row>
    <row r="10" spans="1:5">
      <c r="A10" s="2">
        <v>7</v>
      </c>
      <c r="B10" s="2">
        <v>14</v>
      </c>
      <c r="C10" s="2">
        <v>15</v>
      </c>
      <c r="D10" s="2">
        <f t="shared" si="1"/>
        <v>1</v>
      </c>
      <c r="E10" s="2"/>
    </row>
    <row r="11" spans="1:5">
      <c r="A11" s="2">
        <v>8</v>
      </c>
      <c r="B11" s="2">
        <v>14</v>
      </c>
      <c r="C11" s="2">
        <v>15</v>
      </c>
      <c r="D11" s="2">
        <f t="shared" si="1"/>
        <v>1</v>
      </c>
      <c r="E11" s="2"/>
    </row>
    <row r="12" spans="1:5">
      <c r="A12" s="2">
        <v>9</v>
      </c>
      <c r="B12" s="2">
        <v>14</v>
      </c>
      <c r="C12" s="2">
        <v>15</v>
      </c>
      <c r="D12" s="2">
        <f t="shared" si="1"/>
        <v>1</v>
      </c>
      <c r="E12" s="2"/>
    </row>
    <row r="13" spans="1:5">
      <c r="A13" s="2">
        <v>10</v>
      </c>
      <c r="B13" s="2">
        <v>15</v>
      </c>
      <c r="C13" s="2">
        <v>16</v>
      </c>
      <c r="D13" s="2">
        <f t="shared" si="1"/>
        <v>1</v>
      </c>
      <c r="E13" s="2"/>
    </row>
    <row r="14" spans="1:5">
      <c r="A14" s="2">
        <v>11</v>
      </c>
      <c r="B14" s="2">
        <v>16</v>
      </c>
      <c r="C14" s="2">
        <v>17</v>
      </c>
      <c r="D14" s="2">
        <f t="shared" si="1"/>
        <v>1</v>
      </c>
      <c r="E14" s="2"/>
    </row>
    <row r="15" spans="1:5">
      <c r="A15" s="2">
        <v>12</v>
      </c>
      <c r="B15" s="2">
        <v>17</v>
      </c>
      <c r="C15" s="2">
        <v>18</v>
      </c>
      <c r="D15" s="2">
        <f t="shared" si="1"/>
        <v>1</v>
      </c>
      <c r="E15" s="2"/>
    </row>
    <row r="16" spans="1:5">
      <c r="A16" s="2">
        <v>13</v>
      </c>
      <c r="B16" s="2">
        <v>18</v>
      </c>
      <c r="C16" s="2">
        <v>19</v>
      </c>
      <c r="D16" s="2">
        <f t="shared" si="1"/>
        <v>1</v>
      </c>
      <c r="E16" s="2"/>
    </row>
    <row r="17" spans="1:5">
      <c r="A17" s="2">
        <v>14</v>
      </c>
      <c r="B17" s="2">
        <v>19</v>
      </c>
      <c r="C17" s="2">
        <v>20</v>
      </c>
      <c r="D17" s="2">
        <f t="shared" si="1"/>
        <v>1</v>
      </c>
      <c r="E17" s="2"/>
    </row>
    <row r="18" spans="1:5">
      <c r="A18" s="2">
        <v>15</v>
      </c>
      <c r="B18" s="2">
        <v>20</v>
      </c>
      <c r="C18" s="2">
        <v>21</v>
      </c>
      <c r="D18" s="2">
        <f t="shared" si="1"/>
        <v>1</v>
      </c>
      <c r="E18" s="2"/>
    </row>
    <row r="19" spans="1:5">
      <c r="A19" s="2">
        <v>16</v>
      </c>
      <c r="B19" s="2">
        <v>21</v>
      </c>
      <c r="C19" s="2">
        <v>22</v>
      </c>
      <c r="D19" s="2">
        <f t="shared" si="1"/>
        <v>1</v>
      </c>
      <c r="E19" s="2"/>
    </row>
    <row r="20" spans="1:5">
      <c r="A20" s="2">
        <v>17</v>
      </c>
      <c r="B20" s="2">
        <v>22</v>
      </c>
      <c r="C20" s="2">
        <v>23</v>
      </c>
      <c r="D20" s="2">
        <f t="shared" si="1"/>
        <v>1</v>
      </c>
      <c r="E20" s="2"/>
    </row>
    <row r="21" spans="1:5">
      <c r="A21" s="2">
        <v>18</v>
      </c>
      <c r="B21" s="2">
        <v>23</v>
      </c>
      <c r="C21" s="2">
        <v>24</v>
      </c>
      <c r="D21" s="2">
        <f t="shared" si="1"/>
        <v>1</v>
      </c>
      <c r="E21" s="2"/>
    </row>
    <row r="22" spans="1:5">
      <c r="A22" s="2">
        <v>19</v>
      </c>
      <c r="B22" s="2">
        <v>24</v>
      </c>
      <c r="C22" s="2">
        <v>25</v>
      </c>
      <c r="D22" s="2">
        <f t="shared" si="1"/>
        <v>1</v>
      </c>
      <c r="E22" s="2"/>
    </row>
    <row r="23" spans="1:5">
      <c r="A23" s="2">
        <v>20</v>
      </c>
      <c r="B23" s="2">
        <v>25</v>
      </c>
      <c r="C23" s="2">
        <v>26</v>
      </c>
      <c r="D23" s="2">
        <f t="shared" si="1"/>
        <v>1</v>
      </c>
      <c r="E23" s="2"/>
    </row>
    <row r="24" spans="1:5">
      <c r="A24" s="2">
        <v>21</v>
      </c>
      <c r="B24" s="2">
        <v>26</v>
      </c>
      <c r="C24" s="2">
        <v>27</v>
      </c>
      <c r="D24" s="2">
        <f t="shared" si="1"/>
        <v>1</v>
      </c>
      <c r="E24" s="2"/>
    </row>
    <row r="25" spans="1:5">
      <c r="A25" s="2">
        <v>22</v>
      </c>
      <c r="B25" s="2">
        <v>27</v>
      </c>
      <c r="C25" s="2">
        <v>28</v>
      </c>
      <c r="D25" s="2">
        <f t="shared" si="1"/>
        <v>1</v>
      </c>
      <c r="E25" s="2"/>
    </row>
    <row r="26" spans="1:5">
      <c r="A26" s="2">
        <v>23</v>
      </c>
      <c r="B26" s="2">
        <v>28</v>
      </c>
      <c r="C26" s="2">
        <v>29</v>
      </c>
      <c r="D26" s="2">
        <f t="shared" si="1"/>
        <v>1</v>
      </c>
      <c r="E26" s="2"/>
    </row>
    <row r="27" spans="1:5">
      <c r="A27" s="2">
        <v>24</v>
      </c>
      <c r="B27" s="2">
        <v>29</v>
      </c>
      <c r="C27" s="2">
        <v>30</v>
      </c>
      <c r="D27" s="2">
        <f t="shared" si="1"/>
        <v>1</v>
      </c>
      <c r="E27" s="2"/>
    </row>
    <row r="28" spans="1:5">
      <c r="A28" s="2">
        <v>25</v>
      </c>
      <c r="B28" s="2">
        <v>30</v>
      </c>
      <c r="C28" s="2">
        <v>30</v>
      </c>
      <c r="D28" s="2">
        <f t="shared" si="1"/>
        <v>0</v>
      </c>
      <c r="E28" s="2"/>
    </row>
    <row r="29" spans="1:5">
      <c r="A29" s="2">
        <v>26</v>
      </c>
      <c r="B29" s="2">
        <v>30</v>
      </c>
      <c r="C29" s="2">
        <v>30</v>
      </c>
      <c r="D29" s="2">
        <f t="shared" si="1"/>
        <v>0</v>
      </c>
      <c r="E29" s="2"/>
    </row>
    <row r="30" spans="1:5">
      <c r="A30" s="2">
        <v>27</v>
      </c>
      <c r="B30" s="2">
        <v>30</v>
      </c>
      <c r="C30" s="2">
        <v>30</v>
      </c>
      <c r="D30" s="2">
        <f t="shared" si="1"/>
        <v>0</v>
      </c>
      <c r="E30" s="2"/>
    </row>
    <row r="31" spans="1:5">
      <c r="A31" s="2">
        <v>28</v>
      </c>
      <c r="B31" s="2">
        <v>30</v>
      </c>
      <c r="C31" s="2">
        <v>30</v>
      </c>
      <c r="D31" s="2">
        <f t="shared" si="1"/>
        <v>0</v>
      </c>
      <c r="E31" s="2"/>
    </row>
    <row r="32" spans="1:5">
      <c r="A32" s="2">
        <v>29</v>
      </c>
      <c r="B32" s="2">
        <v>30</v>
      </c>
      <c r="C32" s="2">
        <v>30</v>
      </c>
      <c r="D32" s="2">
        <f t="shared" si="1"/>
        <v>0</v>
      </c>
      <c r="E32" s="2"/>
    </row>
    <row r="33" spans="1:5">
      <c r="A33" s="2">
        <v>30</v>
      </c>
      <c r="B33" s="2">
        <v>30</v>
      </c>
      <c r="C33" s="2">
        <v>30</v>
      </c>
      <c r="D33" s="2">
        <f t="shared" si="1"/>
        <v>0</v>
      </c>
      <c r="E33" s="2"/>
    </row>
    <row r="100" spans="1:1">
      <c r="A100" s="3" t="s">
        <v>36</v>
      </c>
    </row>
    <row r="101" spans="1:1">
      <c r="A101" s="3" t="s">
        <v>37</v>
      </c>
    </row>
    <row r="102" spans="1:1">
      <c r="A102" s="3" t="s">
        <v>38</v>
      </c>
    </row>
    <row r="103" spans="1:1">
      <c r="A103" s="3" t="s">
        <v>13</v>
      </c>
    </row>
    <row r="105" spans="1:1">
      <c r="A105" s="1" t="s">
        <v>5</v>
      </c>
    </row>
    <row r="106" spans="1:1">
      <c r="A106" s="1" t="s">
        <v>39</v>
      </c>
    </row>
    <row r="107" spans="1:1">
      <c r="A107" s="1" t="s">
        <v>40</v>
      </c>
    </row>
    <row r="109" spans="1:1">
      <c r="A109" s="1" t="s">
        <v>16</v>
      </c>
    </row>
    <row r="110" spans="1:1">
      <c r="A110" s="1" t="s">
        <v>41</v>
      </c>
    </row>
  </sheetData>
  <sheetProtection password="CC47" sheet="1" objects="1" scenarios="1"/>
  <phoneticPr fontId="30" type="noConversion"/>
  <pageMargins left="0.69791666666666696" right="0.697916666666666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4</vt:i4>
      </vt:variant>
    </vt:vector>
  </HeadingPairs>
  <TitlesOfParts>
    <vt:vector size="7" baseType="lpstr">
      <vt:lpstr>綜合特休試算</vt:lpstr>
      <vt:lpstr>留停紀錄</vt:lpstr>
      <vt:lpstr>新舊週年制比較</vt:lpstr>
      <vt:lpstr>綜合特休試算!Print_Area</vt:lpstr>
      <vt:lpstr>比例方式</vt:lpstr>
      <vt:lpstr>特休制度</vt:lpstr>
      <vt:lpstr>進位方式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Administrator管理者帳戶</cp:lastModifiedBy>
  <dcterms:created xsi:type="dcterms:W3CDTF">2017-07-23T00:44:09Z</dcterms:created>
  <dcterms:modified xsi:type="dcterms:W3CDTF">2020-12-16T08:50:52Z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